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am\گزارشات قانونی و دوره ای\صورت وضعیت پرتفوی\1403\"/>
    </mc:Choice>
  </mc:AlternateContent>
  <xr:revisionPtr revIDLastSave="0" documentId="13_ncr:1_{D680208A-651F-4C46-82DD-6C91A70B0601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اوراق!$A$1:$AM$24</definedName>
    <definedName name="_xlnm.Print_Area" localSheetId="5">'اوراق مشتقه'!$A$1:$AU$13</definedName>
    <definedName name="_xlnm.Print_Area" localSheetId="4">'تعدیل قیمت'!$A$1:$M$13</definedName>
    <definedName name="_xlnm.Print_Area" localSheetId="8">درآمد!$A$1:$K$11</definedName>
    <definedName name="_xlnm.Print_Area" localSheetId="12">'درآمد سپرده بانکی'!$A$1:$F$53</definedName>
    <definedName name="_xlnm.Print_Area" localSheetId="11">'درآمد سرمایه گذاری در اوراق به'!$A$1:$S$47</definedName>
    <definedName name="_xlnm.Print_Area" localSheetId="9">'درآمد سرمایه گذاری در سهام'!$A$1:$W$24</definedName>
    <definedName name="_xlnm.Print_Area" localSheetId="10">'درآمد سرمایه گذاری در صندوق'!$A$1:$T$20</definedName>
    <definedName name="_xlnm.Print_Area" localSheetId="14">'درآمد سود سهام'!$A$1:$T$12</definedName>
    <definedName name="_xlnm.Print_Area" localSheetId="16">'درآمد ناشی از تغییر قیمت اوراق'!$A$1:$S$29</definedName>
    <definedName name="_xlnm.Print_Area" localSheetId="17">'درآمد ناشی از فروش'!$A$1:$S$57</definedName>
    <definedName name="_xlnm.Print_Area" localSheetId="13">'سایر درآمدها'!$A$1:$G$10</definedName>
    <definedName name="_xlnm.Print_Area" localSheetId="7">سپرده!$A$1:$M$33</definedName>
    <definedName name="_xlnm.Print_Area" localSheetId="1">سهام!$A$1:$AB$14</definedName>
    <definedName name="_xlnm.Print_Area" localSheetId="15">'سود اوراق بهادار'!$A$1:$R$23</definedName>
    <definedName name="_xlnm.Print_Area" localSheetId="18">'سود سپرده بانکی'!$A$1:$M$53</definedName>
    <definedName name="_xlnm.Print_Area" localSheetId="0">'صورت وضعیت'!$A$1:$C$25</definedName>
    <definedName name="_xlnm.Print_Area" localSheetId="3">'مبالغ تخصیصی اوراق'!$A$1:$R$13</definedName>
    <definedName name="_xlnm.Print_Area" localSheetId="6">'واحدهای صندوق'!$A$1:$AB$14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18" l="1"/>
  <c r="K53" i="18"/>
  <c r="I53" i="18"/>
  <c r="G53" i="18"/>
  <c r="E53" i="18"/>
  <c r="C53" i="18"/>
  <c r="I57" i="19"/>
  <c r="G57" i="19"/>
  <c r="E57" i="19"/>
  <c r="C57" i="19"/>
  <c r="G29" i="21"/>
  <c r="I29" i="21"/>
  <c r="K29" i="21"/>
  <c r="M29" i="21"/>
  <c r="O29" i="21"/>
  <c r="Q29" i="21"/>
  <c r="E29" i="21"/>
  <c r="C29" i="21"/>
  <c r="Q23" i="17"/>
  <c r="M23" i="17"/>
  <c r="K23" i="17"/>
  <c r="G23" i="17"/>
  <c r="S12" i="15"/>
  <c r="Q12" i="15"/>
  <c r="O12" i="15"/>
  <c r="F10" i="14"/>
  <c r="D10" i="14"/>
  <c r="F10" i="8" s="1"/>
  <c r="F53" i="13"/>
  <c r="D53" i="13"/>
  <c r="F9" i="8" s="1"/>
  <c r="R47" i="11"/>
  <c r="P47" i="11"/>
  <c r="N47" i="11"/>
  <c r="L47" i="11"/>
  <c r="J47" i="11"/>
  <c r="F8" i="8" s="1"/>
  <c r="H47" i="11"/>
  <c r="F47" i="11"/>
  <c r="S20" i="10"/>
  <c r="Q20" i="10"/>
  <c r="O20" i="10"/>
  <c r="L20" i="10"/>
  <c r="J20" i="10"/>
  <c r="H20" i="10"/>
  <c r="F20" i="10"/>
  <c r="D20" i="10"/>
  <c r="V23" i="9"/>
  <c r="T23" i="9"/>
  <c r="R23" i="9"/>
  <c r="P23" i="9"/>
  <c r="N23" i="9"/>
  <c r="J23" i="9"/>
  <c r="H23" i="9"/>
  <c r="D23" i="9"/>
  <c r="F23" i="9"/>
  <c r="J11" i="8"/>
  <c r="L33" i="7"/>
  <c r="J33" i="7"/>
  <c r="H33" i="7"/>
  <c r="F33" i="7"/>
  <c r="D33" i="7"/>
  <c r="AA14" i="4"/>
  <c r="Y14" i="4"/>
  <c r="W14" i="4"/>
  <c r="S14" i="4"/>
  <c r="Q14" i="4"/>
  <c r="O14" i="4"/>
  <c r="M14" i="4"/>
  <c r="K14" i="4"/>
  <c r="I14" i="4"/>
  <c r="G14" i="4"/>
  <c r="D14" i="4"/>
  <c r="K12" i="6"/>
  <c r="AL24" i="5"/>
  <c r="AJ24" i="5"/>
  <c r="AH24" i="5"/>
  <c r="AD24" i="5"/>
  <c r="AB24" i="5"/>
  <c r="Z24" i="5"/>
  <c r="X24" i="5"/>
  <c r="V24" i="5"/>
  <c r="T24" i="5"/>
  <c r="R24" i="5"/>
  <c r="P24" i="5"/>
  <c r="AA10" i="2"/>
  <c r="Y10" i="2"/>
  <c r="W10" i="2"/>
  <c r="S10" i="2"/>
  <c r="I10" i="2"/>
  <c r="G10" i="2"/>
  <c r="E10" i="2"/>
  <c r="V9" i="5"/>
  <c r="V8" i="5"/>
  <c r="V20" i="5"/>
  <c r="V10" i="5"/>
  <c r="V12" i="5"/>
  <c r="W11" i="4"/>
  <c r="W12" i="4"/>
  <c r="W13" i="4"/>
  <c r="S13" i="4"/>
  <c r="S12" i="4"/>
  <c r="S11" i="4"/>
  <c r="S10" i="4"/>
  <c r="S8" i="4"/>
  <c r="F7" i="8"/>
  <c r="L5" i="10"/>
  <c r="R46" i="11"/>
  <c r="R45" i="11"/>
  <c r="J46" i="11"/>
  <c r="J45" i="11"/>
  <c r="D47" i="11"/>
  <c r="H19" i="10"/>
  <c r="H18" i="10"/>
  <c r="H17" i="10"/>
  <c r="Q19" i="10"/>
  <c r="Q18" i="10"/>
  <c r="Q17" i="10"/>
  <c r="J32" i="7"/>
  <c r="J30" i="7"/>
  <c r="J31" i="7"/>
  <c r="J29" i="7"/>
  <c r="J28" i="7"/>
  <c r="J27" i="7"/>
  <c r="J26" i="7"/>
  <c r="J24" i="7"/>
  <c r="J23" i="7"/>
  <c r="J22" i="7"/>
  <c r="J20" i="7"/>
  <c r="J19" i="7"/>
  <c r="J18" i="7"/>
  <c r="J13" i="7"/>
  <c r="J12" i="7"/>
  <c r="J10" i="7"/>
  <c r="J9" i="7"/>
  <c r="J11" i="7"/>
  <c r="J14" i="7"/>
  <c r="J15" i="7"/>
  <c r="J16" i="7"/>
  <c r="J17" i="7"/>
  <c r="J21" i="7"/>
  <c r="J25" i="7"/>
  <c r="J8" i="7"/>
  <c r="Q22" i="17"/>
  <c r="K22" i="17"/>
  <c r="F5" i="14"/>
  <c r="Q27" i="21"/>
  <c r="Q26" i="21"/>
  <c r="I27" i="21"/>
  <c r="I26" i="21"/>
  <c r="I11" i="21"/>
  <c r="I25" i="21" l="1"/>
  <c r="I24" i="21"/>
  <c r="I23" i="21"/>
  <c r="Q57" i="19"/>
  <c r="O57" i="19"/>
  <c r="M57" i="19"/>
  <c r="K57" i="19"/>
  <c r="M56" i="19"/>
  <c r="Q56" i="19" s="1"/>
  <c r="I56" i="19"/>
  <c r="E56" i="19"/>
  <c r="M55" i="19"/>
  <c r="Q55" i="19" s="1"/>
  <c r="M54" i="19"/>
  <c r="Q54" i="19" s="1"/>
  <c r="E55" i="19"/>
  <c r="I55" i="19" s="1"/>
  <c r="E54" i="19"/>
  <c r="I54" i="19" s="1"/>
  <c r="G45" i="18"/>
  <c r="I45" i="18" s="1"/>
  <c r="M45" i="18" s="1"/>
  <c r="G46" i="18"/>
  <c r="I46" i="18" s="1"/>
  <c r="M46" i="18" s="1"/>
  <c r="G47" i="18"/>
  <c r="G48" i="18"/>
  <c r="G49" i="18"/>
  <c r="I49" i="18" s="1"/>
  <c r="M49" i="18" s="1"/>
  <c r="G50" i="18"/>
  <c r="G51" i="18"/>
  <c r="G52" i="18"/>
  <c r="I52" i="18" s="1"/>
  <c r="M52" i="18" s="1"/>
  <c r="G44" i="18"/>
  <c r="I44" i="18" s="1"/>
  <c r="M48" i="18"/>
  <c r="I51" i="18"/>
  <c r="M51" i="18" s="1"/>
  <c r="I50" i="18"/>
  <c r="M50" i="18" s="1"/>
  <c r="I48" i="18"/>
  <c r="I47" i="18"/>
  <c r="M47" i="18" s="1"/>
  <c r="I43" i="18"/>
  <c r="M43" i="18" s="1"/>
  <c r="I41" i="18"/>
  <c r="I40" i="18"/>
  <c r="M40" i="18" s="1"/>
  <c r="I39" i="18"/>
  <c r="I31" i="18"/>
  <c r="M31" i="18" s="1"/>
  <c r="I27" i="18"/>
  <c r="M27" i="18" s="1"/>
  <c r="I20" i="18"/>
  <c r="M20" i="18" s="1"/>
  <c r="I17" i="18"/>
  <c r="I14" i="18"/>
  <c r="I13" i="18"/>
  <c r="M13" i="18" s="1"/>
  <c r="I11" i="18"/>
  <c r="I8" i="18"/>
  <c r="I7" i="18"/>
  <c r="G43" i="18"/>
  <c r="D53" i="18"/>
  <c r="S11" i="15"/>
  <c r="M12" i="15"/>
  <c r="R44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7" i="11"/>
  <c r="R38" i="11"/>
  <c r="R39" i="11"/>
  <c r="R40" i="11"/>
  <c r="R41" i="11"/>
  <c r="R42" i="11"/>
  <c r="R43" i="11"/>
  <c r="R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7" i="11"/>
  <c r="J38" i="11"/>
  <c r="J39" i="11"/>
  <c r="J40" i="11"/>
  <c r="J41" i="11"/>
  <c r="J42" i="11"/>
  <c r="J43" i="11"/>
  <c r="J44" i="11"/>
  <c r="J7" i="11"/>
  <c r="Q16" i="10"/>
  <c r="Q15" i="10"/>
  <c r="Q14" i="10"/>
  <c r="Q9" i="10"/>
  <c r="Q10" i="10"/>
  <c r="Q11" i="10"/>
  <c r="Q12" i="10"/>
  <c r="Q13" i="10"/>
  <c r="Q8" i="10"/>
  <c r="H9" i="10"/>
  <c r="H10" i="10"/>
  <c r="H11" i="10"/>
  <c r="H12" i="10"/>
  <c r="H13" i="10"/>
  <c r="H8" i="10"/>
  <c r="T9" i="9"/>
  <c r="T11" i="9"/>
  <c r="T12" i="9"/>
  <c r="T13" i="9"/>
  <c r="T14" i="9"/>
  <c r="T15" i="9"/>
  <c r="T16" i="9"/>
  <c r="T19" i="9"/>
  <c r="T20" i="9"/>
  <c r="T21" i="9"/>
  <c r="I22" i="21"/>
  <c r="I20" i="21"/>
  <c r="I19" i="21"/>
  <c r="I18" i="21"/>
  <c r="I16" i="21"/>
  <c r="I15" i="21"/>
  <c r="I17" i="21"/>
  <c r="I21" i="21"/>
  <c r="I14" i="21"/>
  <c r="I12" i="21"/>
  <c r="I13" i="21"/>
  <c r="I10" i="21"/>
  <c r="I9" i="21"/>
  <c r="F22" i="9" s="1"/>
  <c r="H16" i="10"/>
  <c r="I8" i="21"/>
  <c r="D15" i="10" s="1"/>
  <c r="H15" i="10" s="1"/>
  <c r="I7" i="21"/>
  <c r="Q22" i="21"/>
  <c r="Q21" i="21"/>
  <c r="Q20" i="21"/>
  <c r="Q19" i="21"/>
  <c r="Q18" i="21"/>
  <c r="Q17" i="21"/>
  <c r="Q16" i="21"/>
  <c r="Q15" i="21"/>
  <c r="Q14" i="21"/>
  <c r="Q13" i="21"/>
  <c r="Q11" i="21"/>
  <c r="Q10" i="21"/>
  <c r="Q12" i="21"/>
  <c r="Q9" i="21"/>
  <c r="Q8" i="21"/>
  <c r="Q7" i="21"/>
  <c r="M9" i="18"/>
  <c r="M10" i="18"/>
  <c r="M12" i="18"/>
  <c r="M14" i="18"/>
  <c r="M15" i="18"/>
  <c r="M16" i="18"/>
  <c r="M17" i="18"/>
  <c r="M18" i="18"/>
  <c r="M19" i="18"/>
  <c r="M21" i="18"/>
  <c r="M22" i="18"/>
  <c r="M23" i="18"/>
  <c r="M24" i="18"/>
  <c r="M25" i="18"/>
  <c r="M26" i="18"/>
  <c r="M28" i="18"/>
  <c r="M29" i="18"/>
  <c r="M30" i="18"/>
  <c r="M32" i="18"/>
  <c r="M33" i="18"/>
  <c r="M34" i="18"/>
  <c r="M35" i="18"/>
  <c r="M36" i="18"/>
  <c r="M37" i="18"/>
  <c r="M38" i="18"/>
  <c r="M39" i="18"/>
  <c r="M41" i="18"/>
  <c r="M42" i="18"/>
  <c r="M8" i="18"/>
  <c r="M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7" i="18"/>
  <c r="J53" i="18"/>
  <c r="L53" i="18"/>
  <c r="F53" i="18"/>
  <c r="Q12" i="17"/>
  <c r="Q13" i="17"/>
  <c r="Q14" i="17"/>
  <c r="Q16" i="17"/>
  <c r="Q17" i="17"/>
  <c r="Q18" i="17"/>
  <c r="Q19" i="17"/>
  <c r="Q20" i="17"/>
  <c r="Q7" i="17"/>
  <c r="K18" i="17"/>
  <c r="K19" i="17"/>
  <c r="K20" i="17"/>
  <c r="K8" i="17"/>
  <c r="K9" i="17"/>
  <c r="K10" i="17"/>
  <c r="K11" i="17"/>
  <c r="M11" i="17" s="1"/>
  <c r="Q11" i="17" s="1"/>
  <c r="L32" i="11" s="1"/>
  <c r="R32" i="11" s="1"/>
  <c r="K12" i="17"/>
  <c r="M12" i="17" s="1"/>
  <c r="K13" i="17"/>
  <c r="K14" i="17"/>
  <c r="K15" i="17"/>
  <c r="M15" i="17" s="1"/>
  <c r="Q15" i="17" s="1"/>
  <c r="K16" i="17"/>
  <c r="K17" i="17"/>
  <c r="K7" i="17"/>
  <c r="M7" i="17" s="1"/>
  <c r="S8" i="15"/>
  <c r="N17" i="9" s="1"/>
  <c r="T17" i="9" s="1"/>
  <c r="S9" i="15"/>
  <c r="N8" i="9" s="1"/>
  <c r="S10" i="15"/>
  <c r="N10" i="9" s="1"/>
  <c r="T10" i="9" s="1"/>
  <c r="S7" i="15"/>
  <c r="N18" i="9" s="1"/>
  <c r="T18" i="9" s="1"/>
  <c r="K12" i="15"/>
  <c r="I12" i="15"/>
  <c r="I10" i="6"/>
  <c r="I11" i="6"/>
  <c r="I9" i="6"/>
  <c r="Q10" i="2"/>
  <c r="O10" i="2"/>
  <c r="T8" i="9" l="1"/>
  <c r="D35" i="11"/>
  <c r="J35" i="11" s="1"/>
  <c r="M9" i="17"/>
  <c r="Q9" i="17" s="1"/>
  <c r="L35" i="11" s="1"/>
  <c r="R35" i="11" s="1"/>
  <c r="D34" i="11"/>
  <c r="J34" i="11" s="1"/>
  <c r="M8" i="17"/>
  <c r="D36" i="11"/>
  <c r="J36" i="11" s="1"/>
  <c r="M10" i="17"/>
  <c r="Q10" i="17" s="1"/>
  <c r="L36" i="11" s="1"/>
  <c r="R36" i="11" s="1"/>
  <c r="L33" i="11"/>
  <c r="R33" i="11" s="1"/>
  <c r="D33" i="11"/>
  <c r="J33" i="11" s="1"/>
  <c r="M44" i="18"/>
  <c r="M11" i="18"/>
  <c r="D22" i="9"/>
  <c r="D14" i="10"/>
  <c r="Q8" i="17" l="1"/>
  <c r="J22" i="9"/>
  <c r="F6" i="8" s="1"/>
  <c r="F11" i="8" s="1"/>
  <c r="N22" i="9"/>
  <c r="H14" i="10"/>
  <c r="K5" i="21"/>
  <c r="K5" i="19"/>
  <c r="I5" i="18"/>
  <c r="M5" i="17"/>
  <c r="O5" i="15"/>
  <c r="F5" i="13"/>
  <c r="L5" i="11"/>
  <c r="H6" i="8" l="1"/>
  <c r="L34" i="11"/>
  <c r="T22" i="9"/>
  <c r="H8" i="8" l="1"/>
  <c r="H10" i="8"/>
  <c r="H7" i="8"/>
  <c r="H9" i="8"/>
  <c r="R34" i="11"/>
  <c r="H11" i="8" l="1"/>
</calcChain>
</file>

<file path=xl/sharedStrings.xml><?xml version="1.0" encoding="utf-8"?>
<sst xmlns="http://schemas.openxmlformats.org/spreadsheetml/2006/main" count="752" uniqueCount="314">
  <si>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</si>
  <si>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</si>
  <si>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</si>
  <si>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</si>
  <si>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</si>
  <si>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</si>
  <si>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</si>
  <si>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</si>
  <si>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</si>
  <si>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</si>
  <si>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</si>
  <si>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</si>
  <si>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</si>
  <si>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سرمایه گذاری آرمان گستر پاریز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</si>
  <si>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</si>
  <si>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</si>
  <si>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</si>
  <si>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</si>
  <si>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</si>
  <si>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</si>
  <si>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</si>
  <si>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 خکرمان-6233-030820</t>
  </si>
  <si>
    <t>1403/08/20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</si>
  <si>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</si>
  <si>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</si>
  <si>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</si>
  <si>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</si>
  <si>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</si>
  <si>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 خکرمان-6336-030920</t>
  </si>
  <si>
    <t>اختیار خرید</t>
  </si>
  <si>
    <t>موقعیت فروش</t>
  </si>
  <si>
    <t>-</t>
  </si>
  <si>
    <t>1403/09/20</t>
  </si>
  <si>
    <t>خرید/صدور طی دوره</t>
  </si>
  <si>
    <t>فروش/ابطال طی دوره</t>
  </si>
  <si>
    <t>صندوق</t>
  </si>
  <si>
    <t>تعداد واحد</t>
  </si>
  <si>
    <t>ص.س. اهرمی نارنج - واحدهای عادی</t>
  </si>
  <si>
    <t>صندوق اهرمی جهش-واحدهای عادی</t>
  </si>
  <si>
    <t>صندوق س صنایع دایا2-بخشی</t>
  </si>
  <si>
    <t>صندوق س. اهرمی کاریزما-واحد عادی</t>
  </si>
  <si>
    <t>صندوق س.بخشی صنایع سورنا-ب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</si>
  <si>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</si>
  <si>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</si>
  <si>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</si>
  <si>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</si>
  <si>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</si>
  <si>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</si>
  <si>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</si>
  <si>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</si>
  <si>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</si>
  <si>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</si>
  <si>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</si>
  <si>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</si>
  <si>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</si>
  <si>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</si>
  <si>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</si>
  <si>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</si>
  <si>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</si>
  <si>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</si>
  <si>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</si>
  <si>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1403/03/07</t>
  </si>
  <si>
    <t>1407/03/07</t>
  </si>
  <si>
    <t>مرابحه الکترومادیرا-کیان060626</t>
  </si>
  <si>
    <t>1402/06/26</t>
  </si>
  <si>
    <t>1406/06/26</t>
  </si>
  <si>
    <t>مرابحه صاف فیلم کارون051116</t>
  </si>
  <si>
    <t>1405/11/16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</si>
  <si>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</si>
  <si>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</si>
  <si>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</si>
  <si>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</si>
  <si>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</si>
  <si>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</si>
  <si>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</si>
  <si>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</si>
  <si>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</si>
  <si>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</si>
  <si>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</si>
  <si>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</si>
  <si>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</si>
  <si>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</si>
  <si>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</si>
  <si>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</si>
  <si>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</si>
  <si>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</si>
  <si>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</si>
  <si>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</si>
  <si>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</si>
  <si>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</si>
  <si>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</si>
  <si>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</si>
  <si>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</si>
  <si>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</si>
  <si>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</si>
  <si>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</si>
  <si>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پاسارگاد جهان کودک 290.8100.15692033.1</t>
  </si>
  <si>
    <t>حساب جاری بانک خاورمیانه نیایش 101311040707075301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</si>
  <si>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</si>
  <si>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</si>
  <si>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</si>
  <si>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</si>
  <si>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</si>
  <si>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</si>
  <si>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</si>
  <si>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</si>
  <si>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بلند مدت بانک دی یوسف آباد 0406286219000</t>
  </si>
  <si>
    <t>سپرده بلند مدت بانک گردشگری آپادانا 12033314037856</t>
  </si>
  <si>
    <t>سپرده بلند مدت بانک دی یوسف آباد 0406298526004</t>
  </si>
  <si>
    <t>سپرده کوتاه مدت بانک گردشگری نیاوران 146.9967.1403785.1</t>
  </si>
  <si>
    <t>سپرده بلند مدت بانک گردشگری نیاوران  146.333.1403785.1</t>
  </si>
  <si>
    <t>سپرده بلند مدت بانک گردشگری آپادانا 12033314037857</t>
  </si>
  <si>
    <t>سپرده بلند مدت بانک گردشگری آپادانا 120.333.1403785.8</t>
  </si>
  <si>
    <t>سپرده کوتاه مدت بانک ملت گلشهر 2209379182</t>
  </si>
  <si>
    <t>سپرده بلند مدت بانک ملت گلشهر 2210875874</t>
  </si>
  <si>
    <t>سپرده بلند مدت بانک گردشگری نیاوران 146.333.1403785.2</t>
  </si>
  <si>
    <t>سپرده بلند مدت بانک پاسارگاد جهان کودک 290303156920332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</si>
  <si>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</si>
  <si>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</si>
  <si>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</si>
  <si>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</si>
  <si>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</si>
  <si>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</si>
  <si>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</si>
  <si>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</si>
  <si>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</si>
  <si>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</si>
  <si>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</si>
  <si>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</si>
  <si>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</si>
  <si>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</si>
  <si>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</si>
  <si>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</si>
  <si>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آنتی بیوتیک سازی ایران</t>
  </si>
  <si>
    <t>تولیدی و صنعتی گوهرفام</t>
  </si>
  <si>
    <t>تولیدی فولاد سپید فراب کویر</t>
  </si>
  <si>
    <t>پالایش نفت اصفهان</t>
  </si>
  <si>
    <t>بیمه اتکایی ایران معین</t>
  </si>
  <si>
    <t>نورایستا پلاستیک</t>
  </si>
  <si>
    <t>پارس فنر</t>
  </si>
  <si>
    <t>گروه سرمایه گذاری میراث فرهنگی</t>
  </si>
  <si>
    <t>توسعه سامانه ی نرم افزاری نگین</t>
  </si>
  <si>
    <t>لیزینگ ایران و شرق</t>
  </si>
  <si>
    <t>نشاسته و گلوکز آردینه</t>
  </si>
  <si>
    <t>کاشی‌ وسرامیک‌ حافظ‌</t>
  </si>
  <si>
    <t>پرداخت الکترونیک پاسارگاد</t>
  </si>
  <si>
    <t>صندوق س.بخشی صنایع معیار-ب</t>
  </si>
  <si>
    <t>صندوق اهرمی موج-واحدهای عادی</t>
  </si>
  <si>
    <t>صندوق س. بخشی کیان-ب</t>
  </si>
  <si>
    <t>عنوان</t>
  </si>
  <si>
    <t>درآمد سود اوراق</t>
  </si>
  <si>
    <t>مرابحه عام دولت2-ش.خ سایر0212</t>
  </si>
  <si>
    <t>مرابحه عام دولت5-ش.خ0302</t>
  </si>
  <si>
    <t>مرابحه عام دولت87-ش.خ030304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</si>
  <si>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</si>
  <si>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</si>
  <si>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</si>
  <si>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</si>
  <si>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</si>
  <si>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اسنادخزانه-م2بودجه00-031024</t>
  </si>
  <si>
    <t>اسنادخزانه-م7بودجه00-030912</t>
  </si>
  <si>
    <t>اسنادخزانه-م8بودجه00-030919</t>
  </si>
  <si>
    <t>اسناد خزانه-م9بودجه00-031101</t>
  </si>
  <si>
    <t>اسناد خزانه-م10بودجه00-031115</t>
  </si>
  <si>
    <t>مرابحه عام دولت105-ش.خ030503</t>
  </si>
  <si>
    <t>اسناد خزانه-م1بودجه01-040326</t>
  </si>
  <si>
    <t>مرابحه عام دولت112-ش.خ 040408</t>
  </si>
  <si>
    <t>اسناد خزانه-م3بودجه01-040520</t>
  </si>
  <si>
    <t>مرابحه عام دولت127-ش.خ040623</t>
  </si>
  <si>
    <t>اسنادخزانه-م4بودجه01-040917</t>
  </si>
  <si>
    <t>اسنادخزانه-م5بودجه01-041015</t>
  </si>
  <si>
    <t>اسنادخزانه-م6بودجه01-030814</t>
  </si>
  <si>
    <t>اسنادخزانه-م7بودجه01-040714</t>
  </si>
  <si>
    <t>اسنادخزانه-م8بودجه01-040728</t>
  </si>
  <si>
    <t>مرابحه کرمان موتور-کارون050327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</si>
  <si>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</si>
  <si>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</si>
  <si>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</si>
  <si>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</si>
  <si>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</si>
  <si>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</si>
  <si>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</si>
  <si>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</si>
  <si>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</si>
  <si>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سپرده بلند مدت بانک پاسارگاد جهان کودک 290.303.15692033.1</t>
  </si>
  <si>
    <t>سپرده بلند مدت موسسه اعتباری ملل مرزداران 0532.60.386.000000037</t>
  </si>
  <si>
    <t>سپرده بلند مدت بانک گردشگری آپادانا 120.1405.1403785.20</t>
  </si>
  <si>
    <t>سپرده بلند مدت بانک آینده بلوار صبا 0405311753000</t>
  </si>
  <si>
    <t>سپرده بلند مدت بانک آینده بلوار صبا 0405314939003</t>
  </si>
  <si>
    <t>سپرده بلند مدت بانک گردشگری آپادانا 120.1405.1403785.21</t>
  </si>
  <si>
    <t>سپرده بلند مدت موسسه اعتباری ملل مرزداران 053260345000000321</t>
  </si>
  <si>
    <t>سپرده بلند مدت بانک گردشگری آپادانا 120.1405.1403785.22</t>
  </si>
  <si>
    <t>سپرده بلند مدت بانک آینده بلوار صبا 0405406580008</t>
  </si>
  <si>
    <t>سپرده بلند مدت بانک گردشگری آپادانا 120.1405.1403785.23</t>
  </si>
  <si>
    <t>سپرده بلند مدت بانک گردشگری آپادانا 120.333.1403785.1</t>
  </si>
  <si>
    <t>سپرده بلند مدت موسسه اعتباری ملل مرزداران 053260345000000377</t>
  </si>
  <si>
    <t>سپرده بلند مدت بانک دی یوسف آباد 0406205097008</t>
  </si>
  <si>
    <t>سپرده بلند مدت بانک دی یوسف آباد 0406228192000</t>
  </si>
  <si>
    <t>سپرده بلند مدت بانک اقتصاد نوین میدان ونک 155-283-7256601-1</t>
  </si>
  <si>
    <t>سپرده بلند مدت بانک دی یوسف آباد 0406229449003</t>
  </si>
  <si>
    <t>سپرده بلند مدت بانک اقتصاد نوین میدان ونک 155-283-7256601-2</t>
  </si>
  <si>
    <t>سپرده بلند مدت بانک گردشگری آپادانا 120.333.1403785.2</t>
  </si>
  <si>
    <t>سپرده بلند مدت بانک گردشگری آپادانا 120.333.1403785.3</t>
  </si>
  <si>
    <t>سپرده بلند مدت بانک گردشگری آپادانا 120.333.1403785.4</t>
  </si>
  <si>
    <t>سپرده بلند مدت بانک گردشگری آپادانا 120.333.1403785.5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</si>
  <si>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</si>
  <si>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</si>
  <si>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</si>
  <si>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</si>
  <si>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</si>
  <si>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</si>
  <si>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</si>
  <si>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</si>
  <si>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</si>
  <si>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</si>
  <si>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1403/01/19</t>
  </si>
  <si>
    <t>1403/04/28</t>
  </si>
  <si>
    <t>1403/03/01</t>
  </si>
  <si>
    <t>سود اوراق بهادار با درآمد ثابت</t>
  </si>
  <si>
    <t>نرخ سود علی الحساب</t>
  </si>
  <si>
    <t>درآمد سود</t>
  </si>
  <si>
    <t>خالص درآمد</t>
  </si>
  <si>
    <t>1405/03/27</t>
  </si>
  <si>
    <t>1403/03/04</t>
  </si>
  <si>
    <t>1404/04/07</t>
  </si>
  <si>
    <t>1404/06/22</t>
  </si>
  <si>
    <t>1403/05/03</t>
  </si>
  <si>
    <t>1402/12/25</t>
  </si>
  <si>
    <t>1403/02/16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</si>
  <si>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</si>
  <si>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</si>
  <si>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</si>
  <si>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</si>
  <si>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</si>
  <si>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</si>
  <si>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</si>
  <si>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</si>
  <si>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</si>
  <si>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</si>
  <si>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</si>
  <si>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</si>
  <si>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</si>
  <si>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</si>
  <si>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1403/06/31</t>
  </si>
  <si>
    <t>اسنادخزانه-م10بودجه02-051112</t>
  </si>
  <si>
    <t>1403/12/21</t>
  </si>
  <si>
    <t>1405/11/12</t>
  </si>
  <si>
    <t>صندوق س صنایع مفید 3 - بخشی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</si>
  <si>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</si>
  <si>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</si>
  <si>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</si>
  <si>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</si>
  <si>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</si>
  <si>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</si>
  <si>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</si>
  <si>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</si>
  <si>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1403/06/05</t>
  </si>
  <si>
    <t>سپرده بلند مدت بانک ملت  2209379182</t>
  </si>
  <si>
    <t>سپرده بلند مدت بانک گردشگری  146.9967.1403785.1</t>
  </si>
  <si>
    <t>سپرده بانک سپه 3130094301037</t>
  </si>
  <si>
    <t>سود بانک ملی 0230972429004</t>
  </si>
  <si>
    <t>سپرده بانک صادرات 0218451899007</t>
  </si>
  <si>
    <t>سپرده بانک ملت 9942376537</t>
  </si>
  <si>
    <t>سپرده بانک دی شعبه یوسف آباد 0214400000003</t>
  </si>
  <si>
    <t>سپرده بانک آینده 0203865146003</t>
  </si>
  <si>
    <t>سپرده بلند مدت موسسه اعتباری ملل مرزداران 053210277000000395</t>
  </si>
  <si>
    <t>سپرده  بانک گردشگری 120.9967.1403785.1</t>
  </si>
  <si>
    <t>سپرده بلند مدت پاسارگاد 290.303.15692033.1</t>
  </si>
  <si>
    <t>سپرده بانک خاورمیانه 101310810707074930</t>
  </si>
  <si>
    <t>سپرده بلند مدت بانک اقتصاد نوین میدان ونک 155-850-7256601-1</t>
  </si>
  <si>
    <t>سپرده بلند مدت بانک پاسارگاد جهان کودک 2908100156920331</t>
  </si>
  <si>
    <t>اسنادخزانه-م12بودجه 02-050916</t>
  </si>
  <si>
    <t>صندوق س صنایع مفید3-بخشی</t>
  </si>
  <si>
    <t>اسناد خزانه-م10بودجه02-051112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</si>
  <si>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</si>
  <si>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</si>
  <si>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</si>
  <si>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</si>
  <si>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</si>
  <si>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>اسناد خزانه -م10 بودجه02-051112</t>
  </si>
  <si>
    <t>سپرده کوتاه مدت بانک صادرات احمد قصیر 0218451899007</t>
  </si>
  <si>
    <t>سپرده بلند مدت بانک گردشگری آپادانا 12033314037858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</si>
  <si>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</si>
  <si>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</si>
  <si>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برای ماه منتهی به 1403/07/30</t>
  </si>
  <si>
    <t>1403/07/30</t>
  </si>
  <si>
    <t>سود سپرده بانک گردشگری شعبه نیاوران  14633314037853</t>
  </si>
  <si>
    <t>سود سپرده بانک پاسارگاد شعبه جهان کودک 290303156920333</t>
  </si>
  <si>
    <t>سود سپرده بانک پاسارگاد شعبه جهان کودک290303156920334</t>
  </si>
  <si>
    <t>صندوق س صنایع مفید3- بخشی</t>
  </si>
  <si>
    <t>صندوق سرمایه گذاری برلیان-سهام</t>
  </si>
  <si>
    <t>صندوق واسطه گری مالی یکم-سهام</t>
  </si>
  <si>
    <t>صندوق پالایشی یکم-سهام</t>
  </si>
  <si>
    <t>اسناد خزانه-م8بودجه02-041211</t>
  </si>
  <si>
    <t>مرابحه افق قلعه پارسیان060722</t>
  </si>
  <si>
    <t>ظخکرمان03091</t>
  </si>
  <si>
    <t>سود اوراق مشارکت مرابحه افق قلعه پارسیان060722</t>
  </si>
  <si>
    <t>1406/07/22</t>
  </si>
  <si>
    <t>سود سپرده بانک گردشگری شعبه نیاوران 14633314037853</t>
  </si>
  <si>
    <t>سود سپرده بانک پاسارگاد شعبه جهان کودک 290303156920334</t>
  </si>
  <si>
    <t>سپرده بلند مدت بانک گردشگری شعبه نیاوران - 14633314037853</t>
  </si>
  <si>
    <t>سپرده بلند مدت بانک پاسارگاد شعبه جهان کودک - 290303156920333</t>
  </si>
  <si>
    <t>سپرده بلند مدت بانک پاسارگاد شعبه جهان کودک - 290303156920334</t>
  </si>
  <si>
    <t>سپرده کوتاه مدت بانک شهر کامرانیه 7001004371365</t>
  </si>
  <si>
    <t>شهرداری شیراز</t>
  </si>
  <si>
    <t>1406/12/28</t>
  </si>
  <si>
    <t>مرابحه افق قلعه پارسیان  060722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</si>
  <si>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</si>
  <si>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</si>
  <si>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</si>
  <si>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</si>
  <si>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</si>
  <si>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1402/12/2/8</t>
  </si>
  <si>
    <t>1404/12/10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</si>
</sst>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;\(#,##0\)"/>
    <numFmt numFmtId="166" formatCode="0_);[Red]\(0\)"/>
  </numFmts>
  <fonts count="3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b/>
      <sz val="8"/>
      <color theme="1"/>
      <name val="Tahoma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79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3" fillId="0" borderId="2" xfId="0" applyNumberFormat="1" applyFont="1" applyBorder="1" applyAlignment="1">
      <alignment horizontal="center" vertical="top"/>
    </xf>
    <xf numFmtId="37" fontId="3" fillId="0" borderId="0" xfId="0" applyNumberFormat="1" applyFont="1" applyAlignment="1">
      <alignment horizontal="center" vertical="top"/>
    </xf>
    <xf numFmtId="37" fontId="3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2" xfId="0" applyNumberFormat="1" applyFont="1" applyBorder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left"/>
    </xf>
    <xf numFmtId="3" fontId="3" fillId="0" borderId="6" xfId="0" applyNumberFormat="1" applyFont="1" applyBorder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3" fontId="2" fillId="0" borderId="11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top"/>
    </xf>
    <xf numFmtId="37" fontId="11" fillId="0" borderId="0" xfId="0" applyNumberFormat="1" applyFont="1" applyAlignment="1">
      <alignment horizontal="center" vertical="top"/>
    </xf>
    <xf numFmtId="37" fontId="12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 vertical="top"/>
    </xf>
    <xf numFmtId="37" fontId="2" fillId="0" borderId="5" xfId="0" applyNumberFormat="1" applyFont="1" applyBorder="1" applyAlignment="1">
      <alignment horizontal="center" vertical="top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 applyAlignment="1">
      <alignment wrapText="1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0" borderId="0" xfId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7" fontId="2" fillId="2" borderId="5" xfId="0" applyNumberFormat="1" applyFont="1" applyFill="1" applyBorder="1" applyAlignment="1">
      <alignment horizontal="center" vertical="top"/>
    </xf>
    <xf numFmtId="3" fontId="2" fillId="0" borderId="9" xfId="0" applyNumberFormat="1" applyFont="1" applyBorder="1" applyAlignment="1">
      <alignment horizontal="center" vertical="top"/>
    </xf>
    <xf numFmtId="37" fontId="3" fillId="0" borderId="2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9" fillId="0" borderId="0" xfId="0" applyFont="1" applyAlignment="1">
      <alignment horizontal="left"/>
    </xf>
    <xf numFmtId="37" fontId="6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3" fillId="2" borderId="0" xfId="0" applyNumberFormat="1" applyFont="1" applyFill="1" applyAlignment="1">
      <alignment horizontal="center" vertical="top"/>
    </xf>
    <xf numFmtId="37" fontId="0" fillId="0" borderId="0" xfId="0" applyNumberFormat="1" applyAlignment="1">
      <alignment horizontal="left"/>
    </xf>
    <xf numFmtId="0" fontId="8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37" fontId="11" fillId="2" borderId="0" xfId="0" applyNumberFormat="1" applyFont="1" applyFill="1" applyAlignment="1">
      <alignment horizontal="right" vertical="center"/>
    </xf>
    <xf numFmtId="37" fontId="11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top"/>
    </xf>
    <xf numFmtId="0" fontId="7" fillId="2" borderId="0" xfId="0" applyFont="1" applyFill="1" applyAlignment="1">
      <alignment horizontal="left"/>
    </xf>
    <xf numFmtId="37" fontId="3" fillId="2" borderId="2" xfId="0" applyNumberFormat="1" applyFont="1" applyFill="1" applyBorder="1" applyAlignment="1">
      <alignment horizontal="right" vertical="center"/>
    </xf>
    <xf numFmtId="37" fontId="7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top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3" fillId="2" borderId="4" xfId="0" applyFont="1" applyFill="1" applyBorder="1" applyAlignment="1">
      <alignment horizontal="right" vertical="top"/>
    </xf>
    <xf numFmtId="0" fontId="0" fillId="2" borderId="0" xfId="0" applyFill="1" applyAlignment="1">
      <alignment horizontal="left"/>
    </xf>
    <xf numFmtId="3" fontId="3" fillId="2" borderId="4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37" fontId="2" fillId="2" borderId="8" xfId="0" applyNumberFormat="1" applyFont="1" applyFill="1" applyBorder="1" applyAlignment="1">
      <alignment horizontal="center" vertical="top"/>
    </xf>
    <xf numFmtId="37" fontId="10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 readingOrder="2"/>
    </xf>
    <xf numFmtId="0" fontId="26" fillId="2" borderId="0" xfId="0" applyFont="1" applyFill="1" applyAlignment="1">
      <alignment horizontal="center" vertical="center" wrapText="1" readingOrder="2"/>
    </xf>
    <xf numFmtId="165" fontId="27" fillId="2" borderId="0" xfId="0" applyNumberFormat="1" applyFont="1" applyFill="1" applyAlignment="1">
      <alignment vertical="center" wrapText="1" readingOrder="2"/>
    </xf>
    <xf numFmtId="165" fontId="27" fillId="2" borderId="0" xfId="0" applyNumberFormat="1" applyFont="1" applyFill="1" applyAlignment="1">
      <alignment horizontal="center" vertical="center" wrapText="1" readingOrder="2"/>
    </xf>
    <xf numFmtId="0" fontId="29" fillId="2" borderId="0" xfId="0" applyFont="1" applyFill="1" applyAlignment="1">
      <alignment vertical="center" wrapText="1" readingOrder="2"/>
    </xf>
    <xf numFmtId="0" fontId="28" fillId="2" borderId="0" xfId="0" applyFont="1" applyFill="1" applyAlignment="1">
      <alignment horizontal="left"/>
    </xf>
    <xf numFmtId="3" fontId="3" fillId="2" borderId="2" xfId="0" applyNumberFormat="1" applyFont="1" applyFill="1" applyBorder="1" applyAlignment="1">
      <alignment horizontal="right" vertical="top"/>
    </xf>
    <xf numFmtId="37" fontId="7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37" fontId="10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28" fillId="2" borderId="0" xfId="0" applyFont="1" applyFill="1"/>
    <xf numFmtId="10" fontId="30" fillId="0" borderId="0" xfId="0" applyNumberFormat="1" applyFont="1" applyAlignment="1">
      <alignment horizontal="left"/>
    </xf>
    <xf numFmtId="10" fontId="31" fillId="2" borderId="0" xfId="0" applyNumberFormat="1" applyFont="1" applyFill="1" applyAlignment="1">
      <alignment vertical="center" wrapText="1" readingOrder="2"/>
    </xf>
    <xf numFmtId="10" fontId="32" fillId="2" borderId="0" xfId="0" applyNumberFormat="1" applyFont="1" applyFill="1"/>
    <xf numFmtId="10" fontId="32" fillId="2" borderId="0" xfId="0" applyNumberFormat="1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top"/>
    </xf>
    <xf numFmtId="10" fontId="6" fillId="0" borderId="0" xfId="0" applyNumberFormat="1" applyFont="1" applyAlignment="1">
      <alignment horizontal="center" vertical="top"/>
    </xf>
    <xf numFmtId="10" fontId="18" fillId="0" borderId="5" xfId="0" applyNumberFormat="1" applyFont="1" applyBorder="1" applyAlignment="1">
      <alignment horizontal="center" vertical="top"/>
    </xf>
    <xf numFmtId="3" fontId="21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center"/>
    </xf>
    <xf numFmtId="37" fontId="7" fillId="2" borderId="0" xfId="0" applyNumberFormat="1" applyFont="1" applyFill="1" applyAlignment="1">
      <alignment horizontal="center" vertical="center"/>
    </xf>
    <xf numFmtId="37" fontId="3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7" fontId="17" fillId="2" borderId="5" xfId="0" applyNumberFormat="1" applyFont="1" applyFill="1" applyBorder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top"/>
    </xf>
    <xf numFmtId="37" fontId="7" fillId="2" borderId="0" xfId="0" applyNumberFormat="1" applyFont="1" applyFill="1" applyAlignment="1">
      <alignment horizontal="center"/>
    </xf>
    <xf numFmtId="37" fontId="11" fillId="2" borderId="0" xfId="0" applyNumberFormat="1" applyFont="1" applyFill="1" applyAlignment="1">
      <alignment horizontal="center" vertical="top"/>
    </xf>
    <xf numFmtId="37" fontId="17" fillId="2" borderId="5" xfId="0" applyNumberFormat="1" applyFont="1" applyFill="1" applyBorder="1" applyAlignment="1">
      <alignment horizontal="center" vertical="top"/>
    </xf>
    <xf numFmtId="37" fontId="11" fillId="2" borderId="6" xfId="0" applyNumberFormat="1" applyFont="1" applyFill="1" applyBorder="1" applyAlignment="1">
      <alignment horizontal="center" vertical="top"/>
    </xf>
    <xf numFmtId="10" fontId="11" fillId="2" borderId="0" xfId="0" applyNumberFormat="1" applyFont="1" applyFill="1" applyAlignment="1">
      <alignment horizontal="center" vertical="top"/>
    </xf>
    <xf numFmtId="37" fontId="3" fillId="2" borderId="4" xfId="0" applyNumberFormat="1" applyFont="1" applyFill="1" applyBorder="1" applyAlignment="1">
      <alignment horizontal="center" vertical="top"/>
    </xf>
    <xf numFmtId="37" fontId="11" fillId="2" borderId="2" xfId="0" applyNumberFormat="1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/>
    </xf>
    <xf numFmtId="37" fontId="18" fillId="2" borderId="5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7" fontId="6" fillId="2" borderId="4" xfId="0" applyNumberFormat="1" applyFont="1" applyFill="1" applyBorder="1" applyAlignment="1">
      <alignment horizontal="center" vertical="top"/>
    </xf>
    <xf numFmtId="38" fontId="3" fillId="0" borderId="0" xfId="0" applyNumberFormat="1" applyFont="1" applyAlignment="1">
      <alignment horizontal="center" vertical="top"/>
    </xf>
    <xf numFmtId="10" fontId="3" fillId="2" borderId="2" xfId="0" applyNumberFormat="1" applyFont="1" applyFill="1" applyBorder="1" applyAlignment="1">
      <alignment horizontal="center" vertical="top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18" fillId="2" borderId="3" xfId="0" applyFont="1" applyFill="1" applyBorder="1" applyAlignment="1">
      <alignment horizontal="center" vertical="center"/>
    </xf>
    <xf numFmtId="37" fontId="6" fillId="2" borderId="0" xfId="0" applyNumberFormat="1" applyFont="1" applyFill="1" applyAlignment="1">
      <alignment horizontal="center" vertical="top"/>
    </xf>
    <xf numFmtId="10" fontId="6" fillId="2" borderId="4" xfId="0" applyNumberFormat="1" applyFont="1" applyFill="1" applyBorder="1" applyAlignment="1">
      <alignment horizontal="center" vertical="top"/>
    </xf>
    <xf numFmtId="10" fontId="18" fillId="2" borderId="5" xfId="0" applyNumberFormat="1" applyFont="1" applyFill="1" applyBorder="1" applyAlignment="1">
      <alignment horizontal="center" vertical="top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top"/>
    </xf>
    <xf numFmtId="3" fontId="33" fillId="0" borderId="0" xfId="0" applyNumberFormat="1" applyFont="1" applyAlignment="1">
      <alignment horizontal="left"/>
    </xf>
    <xf numFmtId="10" fontId="2" fillId="0" borderId="0" xfId="0" applyNumberFormat="1" applyFont="1" applyAlignment="1">
      <alignment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6" fillId="2" borderId="2" xfId="0" applyNumberFormat="1" applyFont="1" applyFill="1" applyBorder="1" applyAlignment="1">
      <alignment horizontal="center" vertical="top"/>
    </xf>
    <xf numFmtId="10" fontId="6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3" fillId="0" borderId="4" xfId="0" applyNumberFormat="1" applyFont="1" applyBorder="1" applyAlignment="1">
      <alignment horizontal="right" vertical="top"/>
    </xf>
    <xf numFmtId="10" fontId="3" fillId="0" borderId="2" xfId="0" applyNumberFormat="1" applyFont="1" applyBorder="1" applyAlignment="1">
      <alignment horizontal="center" vertical="top"/>
    </xf>
    <xf numFmtId="10" fontId="3" fillId="0" borderId="0" xfId="0" applyNumberFormat="1" applyFont="1" applyAlignment="1">
      <alignment horizontal="center" vertical="top"/>
    </xf>
    <xf numFmtId="166" fontId="3" fillId="0" borderId="2" xfId="0" applyNumberFormat="1" applyFont="1" applyBorder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37" fontId="17" fillId="0" borderId="10" xfId="0" applyNumberFormat="1" applyFont="1" applyBorder="1" applyAlignment="1">
      <alignment horizontal="center" vertical="top"/>
    </xf>
    <xf numFmtId="0" fontId="7" fillId="2" borderId="0" xfId="0" applyFont="1" applyFill="1" applyAlignment="1">
      <alignment horizontal="right"/>
    </xf>
    <xf numFmtId="10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1" xfId="0" applyNumberFormat="1" applyFont="1" applyFill="1" applyBorder="1" applyAlignment="1">
      <alignment horizontal="center" vertical="top"/>
    </xf>
    <xf numFmtId="10" fontId="2" fillId="2" borderId="11" xfId="0" applyNumberFormat="1" applyFont="1" applyFill="1" applyBorder="1" applyAlignment="1">
      <alignment horizontal="center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0" fontId="3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center" vertical="top"/>
    </xf>
    <xf numFmtId="9" fontId="3" fillId="0" borderId="2" xfId="0" applyNumberFormat="1" applyFont="1" applyBorder="1" applyAlignment="1">
      <alignment horizontal="center" vertical="top"/>
    </xf>
    <xf numFmtId="9" fontId="7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/>
    </xf>
    <xf numFmtId="10" fontId="2" fillId="0" borderId="5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vertical="center" wrapText="1" readingOrder="2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 wrapText="1" readingOrder="2"/>
    </xf>
    <xf numFmtId="9" fontId="3" fillId="0" borderId="0" xfId="0" applyNumberFormat="1" applyFont="1" applyAlignment="1">
      <alignment horizontal="center" vertical="center" wrapText="1" readingOrder="2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10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1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 readingOrder="2"/>
    </xf>
    <xf numFmtId="3" fontId="3" fillId="0" borderId="0" xfId="0" applyNumberFormat="1" applyFont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0" fontId="18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7" fontId="11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6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37" fontId="3" fillId="2" borderId="0" xfId="0" applyNumberFormat="1" applyFont="1" applyFill="1" applyAlignment="1">
      <alignment horizontal="center" vertical="top"/>
    </xf>
    <xf numFmtId="37" fontId="3" fillId="2" borderId="2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right" vertical="top"/>
    </xf>
    <xf numFmtId="37" fontId="17" fillId="2" borderId="0" xfId="0" applyNumberFormat="1" applyFont="1" applyFill="1" applyAlignment="1">
      <alignment horizontal="center" vertical="top"/>
    </xf>
    <xf numFmtId="37" fontId="11" fillId="2" borderId="0" xfId="0" applyNumberFormat="1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7" fontId="11" fillId="2" borderId="2" xfId="0" applyNumberFormat="1" applyFont="1" applyFill="1" applyBorder="1" applyAlignment="1">
      <alignment horizontal="right" vertical="center"/>
    </xf>
    <xf numFmtId="37" fontId="2" fillId="2" borderId="5" xfId="0" applyNumberFormat="1" applyFont="1" applyFill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37" fontId="3" fillId="0" borderId="0" xfId="0" applyNumberFormat="1" applyFont="1" applyAlignment="1">
      <alignment horizontal="center" vertical="top"/>
    </xf>
    <xf numFmtId="37" fontId="3" fillId="0" borderId="2" xfId="0" applyNumberFormat="1" applyFont="1" applyBorder="1" applyAlignment="1">
      <alignment horizontal="center" vertical="top"/>
    </xf>
    <xf numFmtId="37" fontId="11" fillId="0" borderId="0" xfId="0" applyNumberFormat="1" applyFont="1" applyAlignment="1">
      <alignment horizontal="center" vertical="top"/>
    </xf>
    <xf numFmtId="37" fontId="2" fillId="0" borderId="5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37" fontId="2" fillId="0" borderId="0" xfId="0" applyNumberFormat="1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dmin.samfund.ir/admin/Stock/StockTransactionList.aspx?StockID=308713&amp;BasketID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1:C23"/>
  <sheetViews>
    <sheetView rightToLeft="1" tabSelected="1" view="pageBreakPreview" zoomScaleNormal="100" zoomScaleSheetLayoutView="100" workbookViewId="0">
      <selection activeCell="B24" sqref="B24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219"/>
      <c r="B11" s="219"/>
      <c r="C11" s="219"/>
    </row>
    <row r="12" spans="1:3" ht="21.75" customHeight="1">
      <c r="A12" s="219"/>
      <c r="B12" s="219"/>
      <c r="C12" s="219"/>
    </row>
    <row r="13" spans="1:3" ht="21.75" customHeight="1">
      <c r="A13" s="219"/>
      <c r="B13" s="219"/>
      <c r="C13" s="219"/>
    </row>
    <row r="14" spans="1:3" ht="28.5" customHeight="1"/>
    <row r="15" spans="1:3" ht="24.75">
      <c r="A15" s="80"/>
      <c r="B15" s="220"/>
      <c r="C15" s="80"/>
    </row>
    <row r="16" spans="1:3" ht="24.75">
      <c r="A16" s="80"/>
      <c r="B16" s="220"/>
      <c r="C16" s="80"/>
    </row>
    <row r="17" spans="1:3" ht="26.25">
      <c r="A17" s="218" t="s">
        <v>0</v>
      </c>
      <c r="B17" s="218"/>
      <c r="C17" s="218"/>
    </row>
    <row r="18" spans="1:3" ht="26.25">
      <c r="A18" s="218" t="s">
        <v>1</v>
      </c>
      <c r="B18" s="218"/>
      <c r="C18" s="218"/>
    </row>
    <row r="19" spans="1:3" ht="26.25">
      <c r="A19" s="218" t="s">
        <v>284</v>
      </c>
      <c r="B19" s="218"/>
      <c r="C19" s="218"/>
    </row>
    <row r="20" spans="1:3" ht="24.75">
      <c r="A20" s="80"/>
      <c r="B20" s="80"/>
      <c r="C20" s="80"/>
    </row>
    <row r="21" spans="1:3" ht="24.75">
      <c r="A21" s="80"/>
      <c r="B21" s="80"/>
      <c r="C21" s="80"/>
    </row>
    <row r="22" spans="1:3" ht="24.75">
      <c r="A22" s="80"/>
      <c r="B22" s="80"/>
      <c r="C22" s="80"/>
    </row>
    <row r="23" spans="1:3" ht="24.75">
      <c r="A23" s="80"/>
      <c r="B23" s="80"/>
      <c r="C23" s="80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M31"/>
  <sheetViews>
    <sheetView rightToLeft="1" view="pageBreakPreview" zoomScale="80" zoomScaleNormal="100" zoomScaleSheetLayoutView="80" workbookViewId="0">
      <selection activeCell="V24" sqref="V24"/>
    </sheetView>
  </sheetViews>
  <sheetFormatPr defaultRowHeight="30" customHeight="1"/>
  <cols>
    <col min="1" max="1" width="6.140625" style="20" bestFit="1" customWidth="1"/>
    <col min="2" max="2" width="21.140625" style="20" customWidth="1"/>
    <col min="3" max="3" width="0.7109375" style="20" customWidth="1"/>
    <col min="4" max="4" width="15.7109375" style="20" bestFit="1" customWidth="1"/>
    <col min="5" max="5" width="1.28515625" style="20" customWidth="1"/>
    <col min="6" max="6" width="16.5703125" style="20" bestFit="1" customWidth="1"/>
    <col min="7" max="7" width="1.28515625" style="20" customWidth="1"/>
    <col min="8" max="8" width="15.140625" style="99" bestFit="1" customWidth="1"/>
    <col min="9" max="9" width="1.28515625" style="20" customWidth="1"/>
    <col min="10" max="10" width="16.5703125" style="20" bestFit="1" customWidth="1"/>
    <col min="11" max="11" width="1.28515625" style="20" customWidth="1"/>
    <col min="12" max="12" width="17.42578125" style="173" bestFit="1" customWidth="1"/>
    <col min="13" max="13" width="1.28515625" style="20" customWidth="1"/>
    <col min="14" max="14" width="16.140625" style="99" bestFit="1" customWidth="1"/>
    <col min="15" max="15" width="1.28515625" style="99" customWidth="1"/>
    <col min="16" max="16" width="17.140625" style="99" bestFit="1" customWidth="1"/>
    <col min="17" max="17" width="1.28515625" style="99" customWidth="1"/>
    <col min="18" max="18" width="17" style="99" bestFit="1" customWidth="1"/>
    <col min="19" max="19" width="1.28515625" style="20" customWidth="1"/>
    <col min="20" max="20" width="16.42578125" style="20" bestFit="1" customWidth="1"/>
    <col min="21" max="21" width="1.28515625" style="20" customWidth="1"/>
    <col min="22" max="22" width="17.42578125" style="173" bestFit="1" customWidth="1"/>
    <col min="23" max="23" width="0.28515625" style="20" customWidth="1"/>
    <col min="24" max="24" width="11.7109375" style="20" bestFit="1" customWidth="1"/>
    <col min="25" max="25" width="9.140625" style="43" customWidth="1"/>
    <col min="26" max="26" width="18.7109375" style="20" bestFit="1" customWidth="1"/>
    <col min="27" max="27" width="9.140625" style="20" customWidth="1"/>
    <col min="28" max="28" width="16.85546875" style="20" bestFit="1" customWidth="1"/>
    <col min="29" max="29" width="9.140625" style="20" customWidth="1"/>
    <col min="30" max="30" width="26.28515625" style="20" bestFit="1" customWidth="1"/>
    <col min="31" max="16384" width="9.140625" style="20"/>
  </cols>
  <sheetData>
    <row r="1" spans="1:39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</row>
    <row r="2" spans="1:39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1:39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1:39" s="21" customFormat="1" ht="30" customHeight="1">
      <c r="A4" s="221" t="s">
        <v>274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Y4" s="76"/>
    </row>
    <row r="5" spans="1:39" ht="30" customHeight="1">
      <c r="D5" s="223" t="s">
        <v>128</v>
      </c>
      <c r="E5" s="223"/>
      <c r="F5" s="223"/>
      <c r="G5" s="223"/>
      <c r="H5" s="223"/>
      <c r="I5" s="223"/>
      <c r="J5" s="223"/>
      <c r="K5" s="223"/>
      <c r="L5" s="223"/>
      <c r="N5" s="223" t="s">
        <v>240</v>
      </c>
      <c r="O5" s="223"/>
      <c r="P5" s="223"/>
      <c r="Q5" s="223"/>
      <c r="R5" s="223"/>
      <c r="S5" s="223"/>
      <c r="T5" s="223"/>
      <c r="U5" s="223"/>
      <c r="V5" s="223"/>
    </row>
    <row r="6" spans="1:39" ht="30" customHeight="1">
      <c r="D6" s="37"/>
      <c r="E6" s="37"/>
      <c r="F6" s="37"/>
      <c r="G6" s="37"/>
      <c r="H6" s="149"/>
      <c r="I6" s="37"/>
      <c r="J6" s="224" t="s">
        <v>14</v>
      </c>
      <c r="K6" s="224"/>
      <c r="L6" s="224"/>
      <c r="N6" s="149"/>
      <c r="O6" s="149"/>
      <c r="P6" s="149"/>
      <c r="Q6" s="149"/>
      <c r="R6" s="149"/>
      <c r="S6" s="37"/>
      <c r="T6" s="224" t="s">
        <v>14</v>
      </c>
      <c r="U6" s="224"/>
      <c r="V6" s="224"/>
    </row>
    <row r="7" spans="1:39" ht="30" customHeight="1">
      <c r="A7" s="223" t="s">
        <v>129</v>
      </c>
      <c r="B7" s="223"/>
      <c r="D7" s="1" t="s">
        <v>130</v>
      </c>
      <c r="F7" s="1" t="s">
        <v>131</v>
      </c>
      <c r="H7" s="112" t="s">
        <v>132</v>
      </c>
      <c r="J7" s="2" t="s">
        <v>92</v>
      </c>
      <c r="K7" s="37"/>
      <c r="L7" s="169" t="s">
        <v>120</v>
      </c>
      <c r="N7" s="112" t="s">
        <v>130</v>
      </c>
      <c r="O7" s="250" t="s">
        <v>131</v>
      </c>
      <c r="P7" s="250"/>
      <c r="R7" s="112" t="s">
        <v>132</v>
      </c>
      <c r="T7" s="2" t="s">
        <v>92</v>
      </c>
      <c r="U7" s="37"/>
      <c r="V7" s="169" t="s">
        <v>120</v>
      </c>
    </row>
    <row r="8" spans="1:39" ht="30" customHeight="1">
      <c r="A8" s="228" t="s">
        <v>12</v>
      </c>
      <c r="B8" s="228"/>
      <c r="D8" s="13">
        <v>0</v>
      </c>
      <c r="E8" s="50"/>
      <c r="F8" s="13">
        <v>0</v>
      </c>
      <c r="G8" s="50"/>
      <c r="H8" s="87">
        <v>0</v>
      </c>
      <c r="I8" s="14">
        <v>0</v>
      </c>
      <c r="J8" s="14">
        <v>0</v>
      </c>
      <c r="K8" s="50"/>
      <c r="L8" s="170">
        <v>0</v>
      </c>
      <c r="M8" s="50"/>
      <c r="N8" s="151">
        <f>'درآمد سود سهام'!S9</f>
        <v>167236435</v>
      </c>
      <c r="O8" s="261">
        <v>0</v>
      </c>
      <c r="P8" s="261"/>
      <c r="Q8" s="115"/>
      <c r="R8" s="158">
        <v>-4744660018</v>
      </c>
      <c r="S8" s="50"/>
      <c r="T8" s="13">
        <f>N8+O8+R8</f>
        <v>-4577423583</v>
      </c>
      <c r="U8" s="50"/>
      <c r="V8" s="180">
        <v>-5.1000000000000004E-3</v>
      </c>
      <c r="X8" s="26"/>
      <c r="Y8" s="177"/>
      <c r="Z8" s="176"/>
      <c r="AA8" s="26"/>
      <c r="AB8" s="26"/>
      <c r="AC8" s="26"/>
      <c r="AD8" s="26"/>
      <c r="AF8" s="222"/>
      <c r="AG8" s="222"/>
      <c r="AH8" s="222"/>
      <c r="AI8" s="222"/>
      <c r="AJ8" s="222"/>
      <c r="AK8" s="222"/>
      <c r="AL8" s="222"/>
      <c r="AM8" s="222"/>
    </row>
    <row r="9" spans="1:39" ht="30" customHeight="1">
      <c r="A9" s="229" t="s">
        <v>133</v>
      </c>
      <c r="B9" s="229"/>
      <c r="D9" s="14">
        <v>0</v>
      </c>
      <c r="E9" s="50"/>
      <c r="F9" s="14">
        <v>0</v>
      </c>
      <c r="G9" s="50"/>
      <c r="H9" s="87">
        <v>0</v>
      </c>
      <c r="I9" s="50"/>
      <c r="J9" s="14">
        <v>0</v>
      </c>
      <c r="K9" s="50"/>
      <c r="L9" s="170">
        <v>0</v>
      </c>
      <c r="M9" s="50"/>
      <c r="N9" s="87">
        <v>0</v>
      </c>
      <c r="O9" s="260">
        <v>0</v>
      </c>
      <c r="P9" s="260"/>
      <c r="Q9" s="115"/>
      <c r="R9" s="87">
        <v>551256</v>
      </c>
      <c r="S9" s="50"/>
      <c r="T9" s="14">
        <f t="shared" ref="T9:T22" si="0">N9+O9+R9</f>
        <v>551256</v>
      </c>
      <c r="U9" s="50"/>
      <c r="V9" s="181">
        <v>0</v>
      </c>
      <c r="X9" s="140"/>
      <c r="Y9" s="177"/>
      <c r="Z9" s="176"/>
      <c r="AB9" s="140"/>
      <c r="AD9" s="140"/>
      <c r="AF9" s="140"/>
      <c r="AH9" s="140"/>
      <c r="AJ9" s="140"/>
      <c r="AL9" s="259"/>
      <c r="AM9" s="259"/>
    </row>
    <row r="10" spans="1:39" ht="30" customHeight="1">
      <c r="A10" s="229" t="s">
        <v>134</v>
      </c>
      <c r="B10" s="229"/>
      <c r="D10" s="14">
        <v>0</v>
      </c>
      <c r="E10" s="50"/>
      <c r="F10" s="14">
        <v>0</v>
      </c>
      <c r="G10" s="50"/>
      <c r="H10" s="87">
        <v>0</v>
      </c>
      <c r="I10" s="50"/>
      <c r="J10" s="14">
        <v>0</v>
      </c>
      <c r="K10" s="50"/>
      <c r="L10" s="170">
        <v>0</v>
      </c>
      <c r="M10" s="50"/>
      <c r="N10" s="87">
        <f>'درآمد سود سهام'!S10</f>
        <v>420000</v>
      </c>
      <c r="O10" s="260">
        <v>0</v>
      </c>
      <c r="P10" s="260"/>
      <c r="Q10" s="115"/>
      <c r="R10" s="153">
        <v>-288844</v>
      </c>
      <c r="S10" s="50"/>
      <c r="T10" s="14">
        <f t="shared" si="0"/>
        <v>131156</v>
      </c>
      <c r="U10" s="50"/>
      <c r="V10" s="181">
        <v>0</v>
      </c>
      <c r="X10" s="103"/>
      <c r="Y10" s="177"/>
      <c r="Z10" s="176"/>
      <c r="AA10" s="101"/>
      <c r="AB10" s="103"/>
      <c r="AC10" s="101"/>
      <c r="AD10" s="96"/>
      <c r="AE10" s="101"/>
      <c r="AF10" s="103"/>
      <c r="AG10" s="101"/>
      <c r="AH10" s="103"/>
      <c r="AI10" s="101"/>
      <c r="AJ10" s="103"/>
      <c r="AK10" s="101"/>
      <c r="AL10" s="254"/>
      <c r="AM10" s="254"/>
    </row>
    <row r="11" spans="1:39" ht="30" customHeight="1">
      <c r="A11" s="229" t="s">
        <v>135</v>
      </c>
      <c r="B11" s="229"/>
      <c r="D11" s="14">
        <v>0</v>
      </c>
      <c r="E11" s="50"/>
      <c r="F11" s="14">
        <v>0</v>
      </c>
      <c r="G11" s="50"/>
      <c r="H11" s="87">
        <v>0</v>
      </c>
      <c r="I11" s="50"/>
      <c r="J11" s="14">
        <v>0</v>
      </c>
      <c r="K11" s="50"/>
      <c r="L11" s="170">
        <v>0</v>
      </c>
      <c r="M11" s="50"/>
      <c r="N11" s="87">
        <v>0</v>
      </c>
      <c r="O11" s="260">
        <v>0</v>
      </c>
      <c r="P11" s="260"/>
      <c r="Q11" s="115"/>
      <c r="R11" s="87">
        <v>426542648</v>
      </c>
      <c r="S11" s="50"/>
      <c r="T11" s="14">
        <f t="shared" si="0"/>
        <v>426542648</v>
      </c>
      <c r="U11" s="50"/>
      <c r="V11" s="181">
        <v>5.0000000000000001E-4</v>
      </c>
      <c r="X11" s="103"/>
      <c r="Y11" s="177"/>
      <c r="Z11" s="176"/>
      <c r="AA11" s="101"/>
      <c r="AB11" s="103"/>
      <c r="AC11" s="101"/>
      <c r="AD11" s="96"/>
      <c r="AE11" s="101"/>
      <c r="AF11" s="103"/>
      <c r="AG11" s="101"/>
      <c r="AH11" s="103"/>
      <c r="AI11" s="101"/>
      <c r="AJ11" s="103"/>
      <c r="AK11" s="101"/>
      <c r="AL11" s="258"/>
      <c r="AM11" s="258"/>
    </row>
    <row r="12" spans="1:39" ht="30" customHeight="1">
      <c r="A12" s="229" t="s">
        <v>136</v>
      </c>
      <c r="B12" s="229"/>
      <c r="D12" s="14">
        <v>0</v>
      </c>
      <c r="E12" s="50"/>
      <c r="F12" s="14">
        <v>0</v>
      </c>
      <c r="G12" s="50"/>
      <c r="H12" s="87">
        <v>0</v>
      </c>
      <c r="I12" s="50"/>
      <c r="J12" s="14">
        <v>0</v>
      </c>
      <c r="K12" s="50"/>
      <c r="L12" s="170">
        <v>0</v>
      </c>
      <c r="M12" s="50"/>
      <c r="N12" s="87">
        <v>0</v>
      </c>
      <c r="O12" s="260">
        <v>0</v>
      </c>
      <c r="P12" s="260"/>
      <c r="Q12" s="115"/>
      <c r="R12" s="87">
        <v>6250183264</v>
      </c>
      <c r="S12" s="50"/>
      <c r="T12" s="14">
        <f t="shared" si="0"/>
        <v>6250183264</v>
      </c>
      <c r="U12" s="50"/>
      <c r="V12" s="181">
        <v>7.0000000000000001E-3</v>
      </c>
      <c r="X12" s="103"/>
      <c r="Y12" s="177"/>
      <c r="Z12" s="176"/>
      <c r="AA12" s="101"/>
      <c r="AB12" s="103"/>
      <c r="AC12" s="101"/>
      <c r="AD12" s="104"/>
      <c r="AE12" s="96"/>
      <c r="AF12" s="103"/>
      <c r="AG12" s="101"/>
      <c r="AH12" s="103"/>
      <c r="AI12" s="101"/>
      <c r="AJ12" s="103"/>
      <c r="AK12" s="101"/>
      <c r="AL12" s="258"/>
      <c r="AM12" s="258"/>
    </row>
    <row r="13" spans="1:39" ht="30" customHeight="1">
      <c r="A13" s="229" t="s">
        <v>137</v>
      </c>
      <c r="B13" s="229"/>
      <c r="D13" s="14">
        <v>0</v>
      </c>
      <c r="E13" s="50"/>
      <c r="F13" s="14">
        <v>0</v>
      </c>
      <c r="G13" s="50"/>
      <c r="H13" s="87">
        <v>0</v>
      </c>
      <c r="I13" s="50"/>
      <c r="J13" s="14">
        <v>0</v>
      </c>
      <c r="K13" s="50"/>
      <c r="L13" s="170">
        <v>0</v>
      </c>
      <c r="M13" s="50"/>
      <c r="N13" s="87">
        <v>0</v>
      </c>
      <c r="O13" s="260">
        <v>0</v>
      </c>
      <c r="P13" s="260"/>
      <c r="Q13" s="115"/>
      <c r="R13" s="87">
        <v>540946</v>
      </c>
      <c r="S13" s="50"/>
      <c r="T13" s="14">
        <f t="shared" si="0"/>
        <v>540946</v>
      </c>
      <c r="U13" s="50"/>
      <c r="V13" s="181">
        <v>0</v>
      </c>
      <c r="X13" s="103"/>
      <c r="Y13" s="177"/>
      <c r="Z13" s="176"/>
      <c r="AA13" s="101"/>
      <c r="AB13" s="103"/>
      <c r="AC13" s="101"/>
      <c r="AD13" s="96"/>
      <c r="AE13" s="101"/>
      <c r="AF13" s="103"/>
      <c r="AG13" s="101"/>
      <c r="AH13" s="103"/>
      <c r="AI13" s="101"/>
      <c r="AJ13" s="103"/>
      <c r="AK13" s="101"/>
      <c r="AL13" s="258"/>
      <c r="AM13" s="258"/>
    </row>
    <row r="14" spans="1:39" ht="30" customHeight="1">
      <c r="A14" s="229" t="s">
        <v>138</v>
      </c>
      <c r="B14" s="229"/>
      <c r="D14" s="14">
        <v>0</v>
      </c>
      <c r="E14" s="50"/>
      <c r="F14" s="14">
        <v>0</v>
      </c>
      <c r="G14" s="50"/>
      <c r="H14" s="87">
        <v>0</v>
      </c>
      <c r="I14" s="50"/>
      <c r="J14" s="14">
        <v>0</v>
      </c>
      <c r="K14" s="50"/>
      <c r="L14" s="170">
        <v>0</v>
      </c>
      <c r="M14" s="50"/>
      <c r="N14" s="87">
        <v>0</v>
      </c>
      <c r="O14" s="260">
        <v>0</v>
      </c>
      <c r="P14" s="260"/>
      <c r="Q14" s="115"/>
      <c r="R14" s="87">
        <v>241113</v>
      </c>
      <c r="S14" s="50"/>
      <c r="T14" s="14">
        <f t="shared" si="0"/>
        <v>241113</v>
      </c>
      <c r="U14" s="50"/>
      <c r="V14" s="181">
        <v>0</v>
      </c>
      <c r="X14" s="103"/>
      <c r="Y14" s="177"/>
      <c r="Z14" s="176"/>
      <c r="AA14" s="101"/>
      <c r="AB14" s="103"/>
      <c r="AC14" s="101"/>
      <c r="AD14" s="96"/>
      <c r="AE14" s="101"/>
      <c r="AF14" s="103"/>
      <c r="AG14" s="101"/>
      <c r="AH14" s="103"/>
      <c r="AI14" s="101"/>
      <c r="AJ14" s="103"/>
      <c r="AK14" s="101"/>
      <c r="AL14" s="258"/>
      <c r="AM14" s="258"/>
    </row>
    <row r="15" spans="1:39" ht="30" customHeight="1">
      <c r="A15" s="229" t="s">
        <v>139</v>
      </c>
      <c r="B15" s="229"/>
      <c r="D15" s="14">
        <v>0</v>
      </c>
      <c r="E15" s="50"/>
      <c r="F15" s="14">
        <v>0</v>
      </c>
      <c r="G15" s="50"/>
      <c r="H15" s="87">
        <v>0</v>
      </c>
      <c r="I15" s="50"/>
      <c r="J15" s="14">
        <v>0</v>
      </c>
      <c r="K15" s="50"/>
      <c r="L15" s="170">
        <v>0</v>
      </c>
      <c r="M15" s="50"/>
      <c r="N15" s="87">
        <v>0</v>
      </c>
      <c r="O15" s="260">
        <v>0</v>
      </c>
      <c r="P15" s="260"/>
      <c r="Q15" s="115"/>
      <c r="R15" s="87">
        <v>628730</v>
      </c>
      <c r="S15" s="50"/>
      <c r="T15" s="14">
        <f t="shared" si="0"/>
        <v>628730</v>
      </c>
      <c r="U15" s="50"/>
      <c r="V15" s="181">
        <v>0</v>
      </c>
      <c r="X15" s="103"/>
      <c r="Y15" s="177"/>
      <c r="Z15" s="176"/>
      <c r="AA15" s="101"/>
      <c r="AB15" s="103"/>
      <c r="AC15" s="101"/>
      <c r="AD15" s="96"/>
      <c r="AE15" s="101"/>
      <c r="AF15" s="103"/>
      <c r="AG15" s="101"/>
      <c r="AH15" s="103"/>
      <c r="AI15" s="101"/>
      <c r="AJ15" s="103"/>
      <c r="AK15" s="101"/>
      <c r="AL15" s="254"/>
      <c r="AM15" s="254"/>
    </row>
    <row r="16" spans="1:39" ht="30" customHeight="1">
      <c r="A16" s="229" t="s">
        <v>140</v>
      </c>
      <c r="B16" s="229"/>
      <c r="D16" s="14">
        <v>0</v>
      </c>
      <c r="E16" s="50"/>
      <c r="F16" s="14">
        <v>0</v>
      </c>
      <c r="G16" s="50"/>
      <c r="H16" s="87">
        <v>0</v>
      </c>
      <c r="I16" s="50"/>
      <c r="J16" s="14">
        <v>0</v>
      </c>
      <c r="K16" s="50"/>
      <c r="L16" s="170">
        <v>0</v>
      </c>
      <c r="M16" s="50"/>
      <c r="N16" s="87">
        <v>0</v>
      </c>
      <c r="O16" s="260">
        <v>0</v>
      </c>
      <c r="P16" s="260"/>
      <c r="Q16" s="115"/>
      <c r="R16" s="153">
        <v>-116314369</v>
      </c>
      <c r="S16" s="50"/>
      <c r="T16" s="14">
        <f t="shared" si="0"/>
        <v>-116314369</v>
      </c>
      <c r="U16" s="50"/>
      <c r="V16" s="181">
        <v>-1E-4</v>
      </c>
      <c r="X16" s="103"/>
      <c r="Y16" s="177"/>
      <c r="Z16" s="176"/>
      <c r="AA16" s="101"/>
      <c r="AB16" s="103"/>
      <c r="AC16" s="101"/>
      <c r="AD16" s="103"/>
      <c r="AE16" s="101"/>
      <c r="AF16" s="103"/>
      <c r="AG16" s="101"/>
      <c r="AH16" s="103"/>
      <c r="AI16" s="101"/>
      <c r="AJ16" s="103"/>
      <c r="AK16" s="101"/>
      <c r="AL16" s="258"/>
      <c r="AM16" s="258"/>
    </row>
    <row r="17" spans="1:39" ht="30" customHeight="1">
      <c r="A17" s="229" t="s">
        <v>141</v>
      </c>
      <c r="B17" s="229"/>
      <c r="D17" s="14">
        <v>0</v>
      </c>
      <c r="E17" s="50"/>
      <c r="F17" s="14">
        <v>0</v>
      </c>
      <c r="G17" s="50"/>
      <c r="H17" s="87">
        <v>0</v>
      </c>
      <c r="I17" s="50"/>
      <c r="J17" s="14">
        <v>0</v>
      </c>
      <c r="K17" s="50"/>
      <c r="L17" s="170">
        <v>0</v>
      </c>
      <c r="M17" s="50"/>
      <c r="N17" s="87">
        <f>'درآمد سود سهام'!S8</f>
        <v>203431000</v>
      </c>
      <c r="O17" s="260">
        <v>0</v>
      </c>
      <c r="P17" s="260"/>
      <c r="Q17" s="115"/>
      <c r="R17" s="153">
        <v>-29443736516</v>
      </c>
      <c r="S17" s="50"/>
      <c r="T17" s="14">
        <f t="shared" si="0"/>
        <v>-29240305516</v>
      </c>
      <c r="U17" s="50"/>
      <c r="V17" s="181">
        <v>-3.2599999999999997E-2</v>
      </c>
      <c r="X17" s="103"/>
      <c r="Y17" s="177"/>
      <c r="Z17" s="176"/>
      <c r="AA17" s="101"/>
      <c r="AB17" s="103"/>
      <c r="AC17" s="101"/>
      <c r="AD17" s="103"/>
      <c r="AE17" s="101"/>
      <c r="AF17" s="103"/>
      <c r="AG17" s="101"/>
      <c r="AH17" s="103"/>
      <c r="AI17" s="101"/>
      <c r="AJ17" s="103"/>
      <c r="AK17" s="101"/>
      <c r="AL17" s="254"/>
      <c r="AM17" s="254"/>
    </row>
    <row r="18" spans="1:39" ht="30" customHeight="1">
      <c r="A18" s="229" t="s">
        <v>142</v>
      </c>
      <c r="B18" s="229"/>
      <c r="D18" s="14">
        <v>0</v>
      </c>
      <c r="E18" s="50"/>
      <c r="F18" s="14">
        <v>0</v>
      </c>
      <c r="G18" s="50"/>
      <c r="H18" s="87">
        <v>0</v>
      </c>
      <c r="I18" s="50"/>
      <c r="J18" s="14">
        <v>0</v>
      </c>
      <c r="K18" s="50"/>
      <c r="L18" s="170">
        <v>0</v>
      </c>
      <c r="M18" s="50"/>
      <c r="N18" s="87">
        <f>'درآمد سود سهام'!S7</f>
        <v>95369890</v>
      </c>
      <c r="O18" s="260">
        <v>0</v>
      </c>
      <c r="P18" s="260"/>
      <c r="Q18" s="115"/>
      <c r="R18" s="153">
        <v>-1378136841</v>
      </c>
      <c r="S18" s="50"/>
      <c r="T18" s="14">
        <f t="shared" si="0"/>
        <v>-1282766951</v>
      </c>
      <c r="U18" s="50"/>
      <c r="V18" s="181">
        <v>-1.4E-3</v>
      </c>
      <c r="X18" s="103"/>
      <c r="Y18" s="177"/>
      <c r="Z18" s="176"/>
      <c r="AA18" s="101"/>
      <c r="AB18" s="103"/>
      <c r="AC18" s="101"/>
      <c r="AD18" s="103"/>
      <c r="AE18" s="101"/>
      <c r="AF18" s="103"/>
      <c r="AG18" s="101"/>
      <c r="AH18" s="103"/>
      <c r="AI18" s="101"/>
      <c r="AJ18" s="103"/>
      <c r="AK18" s="101"/>
      <c r="AL18" s="257"/>
      <c r="AM18" s="257"/>
    </row>
    <row r="19" spans="1:39" ht="30" customHeight="1">
      <c r="A19" s="229" t="s">
        <v>143</v>
      </c>
      <c r="B19" s="229"/>
      <c r="D19" s="14">
        <v>0</v>
      </c>
      <c r="E19" s="50"/>
      <c r="F19" s="14">
        <v>0</v>
      </c>
      <c r="G19" s="50"/>
      <c r="H19" s="87">
        <v>0</v>
      </c>
      <c r="I19" s="50"/>
      <c r="J19" s="14">
        <v>0</v>
      </c>
      <c r="K19" s="50"/>
      <c r="L19" s="170">
        <v>0</v>
      </c>
      <c r="M19" s="50"/>
      <c r="N19" s="87">
        <v>0</v>
      </c>
      <c r="O19" s="260">
        <v>0</v>
      </c>
      <c r="P19" s="260"/>
      <c r="Q19" s="115"/>
      <c r="R19" s="87">
        <v>624809</v>
      </c>
      <c r="S19" s="50"/>
      <c r="T19" s="14">
        <f t="shared" si="0"/>
        <v>624809</v>
      </c>
      <c r="U19" s="50"/>
      <c r="V19" s="181">
        <v>0</v>
      </c>
      <c r="X19" s="103"/>
      <c r="Y19" s="177"/>
      <c r="Z19" s="176"/>
      <c r="AA19" s="101"/>
      <c r="AB19" s="103"/>
      <c r="AC19" s="101"/>
      <c r="AD19" s="96"/>
      <c r="AE19" s="101"/>
      <c r="AF19" s="103"/>
      <c r="AG19" s="101"/>
      <c r="AH19" s="103"/>
      <c r="AI19" s="101"/>
      <c r="AJ19" s="103"/>
      <c r="AK19" s="101"/>
      <c r="AL19" s="257"/>
      <c r="AM19" s="257"/>
    </row>
    <row r="20" spans="1:39" ht="30" customHeight="1">
      <c r="A20" s="229" t="s">
        <v>144</v>
      </c>
      <c r="B20" s="229"/>
      <c r="D20" s="14">
        <v>0</v>
      </c>
      <c r="E20" s="50"/>
      <c r="F20" s="14">
        <v>0</v>
      </c>
      <c r="G20" s="50"/>
      <c r="H20" s="87">
        <v>0</v>
      </c>
      <c r="I20" s="50"/>
      <c r="J20" s="14">
        <v>0</v>
      </c>
      <c r="K20" s="50"/>
      <c r="L20" s="170">
        <v>0</v>
      </c>
      <c r="M20" s="50"/>
      <c r="N20" s="87">
        <v>0</v>
      </c>
      <c r="O20" s="260">
        <v>0</v>
      </c>
      <c r="P20" s="260"/>
      <c r="Q20" s="115"/>
      <c r="R20" s="153">
        <v>-187288292</v>
      </c>
      <c r="S20" s="50"/>
      <c r="T20" s="14">
        <f t="shared" si="0"/>
        <v>-187288292</v>
      </c>
      <c r="U20" s="50"/>
      <c r="V20" s="181">
        <v>-2.0000000000000001E-4</v>
      </c>
      <c r="X20" s="103"/>
      <c r="Y20" s="177"/>
      <c r="Z20" s="176"/>
      <c r="AA20" s="101"/>
      <c r="AB20" s="103"/>
      <c r="AC20" s="101"/>
      <c r="AD20" s="103"/>
      <c r="AE20" s="101"/>
      <c r="AF20" s="103"/>
      <c r="AG20" s="101"/>
      <c r="AH20" s="103"/>
      <c r="AI20" s="101"/>
      <c r="AJ20" s="103"/>
      <c r="AK20" s="101"/>
      <c r="AL20" s="254"/>
      <c r="AM20" s="254"/>
    </row>
    <row r="21" spans="1:39" ht="30" customHeight="1">
      <c r="A21" s="229" t="s">
        <v>145</v>
      </c>
      <c r="B21" s="229"/>
      <c r="D21" s="14">
        <v>0</v>
      </c>
      <c r="E21" s="50"/>
      <c r="F21" s="14">
        <v>0</v>
      </c>
      <c r="G21" s="50"/>
      <c r="H21" s="87">
        <v>0</v>
      </c>
      <c r="I21" s="50"/>
      <c r="J21" s="14">
        <v>0</v>
      </c>
      <c r="K21" s="50"/>
      <c r="L21" s="170">
        <v>0</v>
      </c>
      <c r="M21" s="50"/>
      <c r="N21" s="87">
        <v>0</v>
      </c>
      <c r="O21" s="260">
        <v>0</v>
      </c>
      <c r="P21" s="260"/>
      <c r="Q21" s="115"/>
      <c r="R21" s="153">
        <v>-1817636365</v>
      </c>
      <c r="S21" s="50"/>
      <c r="T21" s="14">
        <f t="shared" si="0"/>
        <v>-1817636365</v>
      </c>
      <c r="U21" s="50"/>
      <c r="V21" s="181">
        <v>-2E-3</v>
      </c>
      <c r="X21" s="103"/>
      <c r="Y21" s="177"/>
      <c r="Z21" s="176"/>
      <c r="AA21" s="101"/>
      <c r="AB21" s="103"/>
      <c r="AC21" s="101"/>
      <c r="AD21" s="103"/>
      <c r="AE21" s="101"/>
      <c r="AF21" s="103"/>
      <c r="AG21" s="101"/>
      <c r="AH21" s="103"/>
      <c r="AI21" s="101"/>
      <c r="AJ21" s="103"/>
      <c r="AK21" s="101"/>
      <c r="AL21" s="257"/>
      <c r="AM21" s="257"/>
    </row>
    <row r="22" spans="1:39" ht="30" customHeight="1">
      <c r="A22" s="229" t="s">
        <v>13</v>
      </c>
      <c r="B22" s="229"/>
      <c r="D22" s="15">
        <f>'درآمد سود سهام'!M11</f>
        <v>0</v>
      </c>
      <c r="E22" s="50"/>
      <c r="F22" s="163">
        <f>'درآمد ناشی از تغییر قیمت اوراق'!I9</f>
        <v>5649776368</v>
      </c>
      <c r="G22" s="50"/>
      <c r="H22" s="157">
        <v>0</v>
      </c>
      <c r="I22" s="50"/>
      <c r="J22" s="15">
        <f>D22+F22</f>
        <v>5649776368</v>
      </c>
      <c r="K22" s="50"/>
      <c r="L22" s="171">
        <v>0</v>
      </c>
      <c r="M22" s="50"/>
      <c r="N22" s="157">
        <f>'درآمد سود سهام'!S11</f>
        <v>10388205829</v>
      </c>
      <c r="O22" s="260">
        <v>38674757812</v>
      </c>
      <c r="P22" s="260"/>
      <c r="Q22" s="115"/>
      <c r="R22" s="157">
        <v>0</v>
      </c>
      <c r="S22" s="50"/>
      <c r="T22" s="14">
        <f t="shared" si="0"/>
        <v>49062963641</v>
      </c>
      <c r="U22" s="50"/>
      <c r="V22" s="171">
        <v>5.4600000000000003E-2</v>
      </c>
      <c r="X22" s="103"/>
      <c r="Y22" s="177"/>
      <c r="Z22" s="176"/>
      <c r="AA22" s="101"/>
      <c r="AB22" s="103"/>
      <c r="AC22" s="101"/>
      <c r="AD22" s="96"/>
      <c r="AE22" s="101"/>
      <c r="AF22" s="103"/>
      <c r="AG22" s="101"/>
      <c r="AH22" s="103"/>
      <c r="AI22" s="101"/>
      <c r="AJ22" s="103"/>
      <c r="AK22" s="101"/>
      <c r="AL22" s="257"/>
      <c r="AM22" s="257"/>
    </row>
    <row r="23" spans="1:39" s="30" customFormat="1" ht="30" customHeight="1" thickBot="1">
      <c r="A23" s="222" t="s">
        <v>14</v>
      </c>
      <c r="B23" s="222"/>
      <c r="D23" s="55">
        <f>SUM(D8:D22)</f>
        <v>0</v>
      </c>
      <c r="E23" s="56"/>
      <c r="F23" s="160">
        <f>SUM(F8:F22)</f>
        <v>5649776368</v>
      </c>
      <c r="G23" s="56"/>
      <c r="H23" s="67">
        <f>SUM(H8:H22)</f>
        <v>0</v>
      </c>
      <c r="I23" s="56"/>
      <c r="J23" s="55">
        <f>SUM(J8:J22)</f>
        <v>5649776368</v>
      </c>
      <c r="K23" s="56"/>
      <c r="L23" s="172">
        <v>0</v>
      </c>
      <c r="M23" s="56"/>
      <c r="N23" s="67">
        <f>SUM(N8:N22)</f>
        <v>10854663154</v>
      </c>
      <c r="O23" s="111"/>
      <c r="P23" s="67">
        <f>SUM(O8:P22)</f>
        <v>38674757812</v>
      </c>
      <c r="Q23" s="159"/>
      <c r="R23" s="154">
        <f>SUM(R8:R22)</f>
        <v>-31008748479</v>
      </c>
      <c r="S23" s="56"/>
      <c r="T23" s="55">
        <f>SUM(T8:T22)</f>
        <v>18520672487</v>
      </c>
      <c r="U23" s="56"/>
      <c r="V23" s="172">
        <f>SUM(V8:V22)</f>
        <v>2.0700000000000003E-2</v>
      </c>
      <c r="X23" s="103"/>
      <c r="Y23" s="178"/>
      <c r="Z23" s="103"/>
      <c r="AA23" s="101"/>
      <c r="AB23" s="103"/>
      <c r="AC23" s="101"/>
      <c r="AD23" s="254"/>
      <c r="AE23" s="254"/>
      <c r="AF23" s="103"/>
      <c r="AG23" s="101"/>
      <c r="AH23" s="103"/>
      <c r="AI23" s="101"/>
      <c r="AJ23" s="103"/>
      <c r="AK23" s="101"/>
      <c r="AL23" s="257"/>
      <c r="AM23" s="257"/>
    </row>
    <row r="24" spans="1:39" ht="30" customHeight="1" thickTop="1">
      <c r="X24" s="103"/>
      <c r="Y24" s="178"/>
      <c r="Z24" s="103"/>
      <c r="AA24" s="101"/>
      <c r="AB24" s="103"/>
      <c r="AC24" s="101"/>
      <c r="AD24" s="103"/>
      <c r="AE24" s="101"/>
      <c r="AF24" s="103"/>
      <c r="AG24" s="101"/>
      <c r="AH24" s="103"/>
      <c r="AI24" s="101"/>
      <c r="AJ24" s="103"/>
      <c r="AK24" s="101"/>
      <c r="AL24" s="254"/>
      <c r="AM24" s="254"/>
    </row>
    <row r="25" spans="1:39" ht="30" customHeight="1">
      <c r="X25" s="103"/>
      <c r="Y25" s="178"/>
      <c r="Z25" s="103"/>
      <c r="AA25" s="101"/>
      <c r="AB25" s="103"/>
      <c r="AC25" s="101"/>
      <c r="AD25" s="96"/>
      <c r="AE25" s="101"/>
      <c r="AF25" s="103"/>
      <c r="AG25" s="101"/>
      <c r="AH25" s="103"/>
      <c r="AI25" s="101"/>
      <c r="AJ25" s="103"/>
      <c r="AK25" s="101"/>
      <c r="AL25" s="254"/>
      <c r="AM25" s="254"/>
    </row>
    <row r="26" spans="1:39" ht="30" customHeight="1">
      <c r="X26" s="103"/>
      <c r="Y26" s="178"/>
      <c r="Z26" s="103"/>
      <c r="AA26" s="101"/>
      <c r="AB26" s="103"/>
      <c r="AC26" s="101"/>
      <c r="AD26" s="254"/>
      <c r="AE26" s="254"/>
      <c r="AF26" s="103"/>
      <c r="AG26" s="101"/>
      <c r="AH26" s="103"/>
      <c r="AI26" s="101"/>
      <c r="AJ26" s="103"/>
      <c r="AK26" s="101"/>
      <c r="AL26" s="254"/>
      <c r="AM26" s="254"/>
    </row>
    <row r="27" spans="1:39" ht="30" customHeight="1">
      <c r="X27" s="103"/>
      <c r="Y27" s="178"/>
      <c r="Z27" s="103"/>
      <c r="AA27" s="101"/>
      <c r="AB27" s="103"/>
      <c r="AC27" s="101"/>
      <c r="AD27" s="254"/>
      <c r="AE27" s="254"/>
      <c r="AF27" s="103"/>
      <c r="AG27" s="101"/>
      <c r="AH27" s="103"/>
      <c r="AI27" s="101"/>
      <c r="AJ27" s="103"/>
      <c r="AK27" s="101"/>
      <c r="AL27" s="254"/>
      <c r="AM27" s="254"/>
    </row>
    <row r="28" spans="1:39" ht="30" customHeight="1">
      <c r="X28" s="103"/>
      <c r="Y28" s="178"/>
      <c r="Z28" s="103"/>
      <c r="AA28" s="101"/>
      <c r="AB28" s="103"/>
      <c r="AC28" s="101"/>
      <c r="AD28" s="96"/>
      <c r="AE28" s="101"/>
      <c r="AF28" s="103"/>
      <c r="AG28" s="101"/>
      <c r="AH28" s="103"/>
      <c r="AI28" s="101"/>
      <c r="AJ28" s="103"/>
      <c r="AK28" s="101"/>
      <c r="AL28" s="254"/>
      <c r="AM28" s="254"/>
    </row>
    <row r="29" spans="1:39" ht="30" customHeight="1">
      <c r="X29" s="103"/>
      <c r="Y29" s="178"/>
      <c r="Z29" s="103"/>
      <c r="AA29" s="101"/>
      <c r="AB29" s="103"/>
      <c r="AC29" s="101"/>
      <c r="AD29" s="96"/>
      <c r="AE29" s="101"/>
      <c r="AF29" s="103"/>
      <c r="AG29" s="101"/>
      <c r="AH29" s="103"/>
      <c r="AI29" s="101"/>
      <c r="AJ29" s="103"/>
      <c r="AK29" s="101"/>
      <c r="AL29" s="254"/>
      <c r="AM29" s="254"/>
    </row>
    <row r="30" spans="1:39" ht="30" customHeight="1">
      <c r="X30" s="103"/>
      <c r="Y30" s="178"/>
      <c r="Z30" s="103"/>
      <c r="AA30" s="101"/>
      <c r="AB30" s="103"/>
      <c r="AC30" s="101"/>
      <c r="AD30" s="104"/>
      <c r="AE30" s="101"/>
      <c r="AF30" s="103"/>
      <c r="AG30" s="101"/>
      <c r="AH30" s="103"/>
      <c r="AI30" s="101"/>
      <c r="AJ30" s="103"/>
      <c r="AK30" s="101"/>
      <c r="AL30" s="255"/>
      <c r="AM30" s="255"/>
    </row>
    <row r="31" spans="1:39" ht="30" customHeight="1">
      <c r="X31" s="126"/>
      <c r="Y31" s="179"/>
      <c r="Z31" s="126"/>
      <c r="AA31" s="106"/>
      <c r="AB31" s="126"/>
      <c r="AC31" s="106"/>
      <c r="AD31" s="126"/>
      <c r="AE31" s="106"/>
      <c r="AF31" s="126"/>
      <c r="AG31" s="106"/>
      <c r="AH31" s="126"/>
      <c r="AI31" s="106"/>
      <c r="AJ31" s="126"/>
      <c r="AK31" s="106"/>
      <c r="AL31" s="256"/>
      <c r="AM31" s="256"/>
    </row>
  </sheetData>
  <mergeCells count="68"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J6:L6"/>
    <mergeCell ref="T6:V6"/>
    <mergeCell ref="A7:B7"/>
    <mergeCell ref="O7:P7"/>
    <mergeCell ref="A8:B8"/>
    <mergeCell ref="O8:P8"/>
    <mergeCell ref="A1:V1"/>
    <mergeCell ref="A2:V2"/>
    <mergeCell ref="A3:V3"/>
    <mergeCell ref="D5:L5"/>
    <mergeCell ref="N5:V5"/>
    <mergeCell ref="A4:V4"/>
    <mergeCell ref="O22:P22"/>
    <mergeCell ref="O21:P21"/>
    <mergeCell ref="O20:P20"/>
    <mergeCell ref="O19:P19"/>
    <mergeCell ref="O18:P18"/>
    <mergeCell ref="O17:P17"/>
    <mergeCell ref="O16:P16"/>
    <mergeCell ref="O15:P15"/>
    <mergeCell ref="O14:P14"/>
    <mergeCell ref="O13:P13"/>
    <mergeCell ref="AF8:AM8"/>
    <mergeCell ref="AL9:AM9"/>
    <mergeCell ref="AL10:AM10"/>
    <mergeCell ref="O12:P12"/>
    <mergeCell ref="O11:P11"/>
    <mergeCell ref="O10:P10"/>
    <mergeCell ref="O9:P9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AD26:AE26"/>
    <mergeCell ref="AL26:AM26"/>
    <mergeCell ref="AD27:AE27"/>
    <mergeCell ref="AL27:AM27"/>
    <mergeCell ref="AL21:AM21"/>
    <mergeCell ref="AL22:AM22"/>
    <mergeCell ref="AD23:AE23"/>
    <mergeCell ref="AL23:AM23"/>
    <mergeCell ref="AL24:AM24"/>
    <mergeCell ref="AL28:AM28"/>
    <mergeCell ref="AL29:AM29"/>
    <mergeCell ref="AL30:AM30"/>
    <mergeCell ref="AL31:AM31"/>
    <mergeCell ref="AL25:AM25"/>
  </mergeCells>
  <pageMargins left="0.39" right="0.39" top="0.39" bottom="0.39" header="0" footer="0"/>
  <pageSetup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21"/>
  <sheetViews>
    <sheetView rightToLeft="1" view="pageBreakPreview" zoomScaleNormal="100" zoomScaleSheetLayoutView="100" workbookViewId="0">
      <selection activeCell="A5" sqref="A5"/>
    </sheetView>
  </sheetViews>
  <sheetFormatPr defaultRowHeight="30" customHeight="1"/>
  <cols>
    <col min="1" max="1" width="6.42578125" style="20" bestFit="1" customWidth="1"/>
    <col min="2" max="2" width="21.5703125" style="20" customWidth="1"/>
    <col min="3" max="3" width="1.28515625" style="20" customWidth="1"/>
    <col min="4" max="4" width="16.28515625" style="99" bestFit="1" customWidth="1"/>
    <col min="5" max="5" width="1.28515625" style="99" customWidth="1"/>
    <col min="6" max="6" width="15.7109375" style="99" bestFit="1" customWidth="1"/>
    <col min="7" max="7" width="1.28515625" style="99" customWidth="1"/>
    <col min="8" max="8" width="15.7109375" style="99" bestFit="1" customWidth="1"/>
    <col min="9" max="9" width="1.28515625" style="20" customWidth="1"/>
    <col min="10" max="10" width="12.28515625" style="99" customWidth="1"/>
    <col min="11" max="12" width="1.28515625" style="99" customWidth="1"/>
    <col min="13" max="13" width="15.28515625" style="99" bestFit="1" customWidth="1"/>
    <col min="14" max="14" width="1.28515625" style="99" customWidth="1"/>
    <col min="15" max="15" width="16.85546875" style="99" bestFit="1" customWidth="1"/>
    <col min="16" max="16" width="1.28515625" style="99" customWidth="1"/>
    <col min="17" max="17" width="16.7109375" style="99" bestFit="1" customWidth="1"/>
    <col min="18" max="18" width="1.28515625" style="20" customWidth="1"/>
    <col min="19" max="19" width="11.5703125" style="99" customWidth="1"/>
    <col min="20" max="20" width="0.28515625" style="20" customWidth="1"/>
    <col min="21" max="21" width="15.85546875" style="43" bestFit="1" customWidth="1"/>
    <col min="22" max="22" width="18.7109375" style="20" customWidth="1"/>
    <col min="23" max="16384" width="9.140625" style="20"/>
  </cols>
  <sheetData>
    <row r="1" spans="1:22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</row>
    <row r="2" spans="1:22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2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</row>
    <row r="4" spans="1:22" s="21" customFormat="1" ht="30" customHeight="1">
      <c r="A4" s="221" t="s">
        <v>275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U4" s="76"/>
    </row>
    <row r="5" spans="1:22" ht="30" customHeight="1">
      <c r="D5" s="233" t="s">
        <v>128</v>
      </c>
      <c r="E5" s="233"/>
      <c r="F5" s="233"/>
      <c r="G5" s="233"/>
      <c r="H5" s="233"/>
      <c r="I5" s="233"/>
      <c r="J5" s="233"/>
      <c r="L5" s="233" t="str">
        <f>'درآمد سرمایه گذاری در سهام'!$N$5</f>
        <v>از ابتدای سال مالی تا پایان ماه</v>
      </c>
      <c r="M5" s="233"/>
      <c r="N5" s="233"/>
      <c r="O5" s="233"/>
      <c r="P5" s="233"/>
      <c r="Q5" s="233"/>
      <c r="R5" s="233"/>
      <c r="S5" s="233"/>
    </row>
    <row r="6" spans="1:22" ht="30" customHeight="1">
      <c r="D6" s="249" t="s">
        <v>131</v>
      </c>
      <c r="E6" s="149"/>
      <c r="F6" s="249" t="s">
        <v>132</v>
      </c>
      <c r="G6" s="149"/>
      <c r="H6" s="224" t="s">
        <v>14</v>
      </c>
      <c r="I6" s="224"/>
      <c r="J6" s="224"/>
      <c r="L6" s="249" t="s">
        <v>131</v>
      </c>
      <c r="M6" s="249"/>
      <c r="N6" s="149"/>
      <c r="O6" s="249" t="s">
        <v>132</v>
      </c>
      <c r="P6" s="149"/>
      <c r="Q6" s="224" t="s">
        <v>14</v>
      </c>
      <c r="R6" s="224"/>
      <c r="S6" s="224"/>
    </row>
    <row r="7" spans="1:22" ht="42.75" customHeight="1">
      <c r="A7" s="223" t="s">
        <v>35</v>
      </c>
      <c r="B7" s="223"/>
      <c r="D7" s="250"/>
      <c r="F7" s="250"/>
      <c r="H7" s="150" t="s">
        <v>92</v>
      </c>
      <c r="I7" s="37"/>
      <c r="J7" s="113" t="s">
        <v>120</v>
      </c>
      <c r="L7" s="250"/>
      <c r="M7" s="250"/>
      <c r="O7" s="250"/>
      <c r="Q7" s="150" t="s">
        <v>92</v>
      </c>
      <c r="R7" s="37"/>
      <c r="S7" s="113" t="s">
        <v>120</v>
      </c>
    </row>
    <row r="8" spans="1:22" ht="30" customHeight="1">
      <c r="A8" s="228" t="s">
        <v>38</v>
      </c>
      <c r="B8" s="228"/>
      <c r="D8" s="151">
        <v>0</v>
      </c>
      <c r="E8" s="152"/>
      <c r="F8" s="87">
        <v>0</v>
      </c>
      <c r="G8" s="152"/>
      <c r="H8" s="151">
        <f>D8+F8</f>
        <v>0</v>
      </c>
      <c r="I8" s="50"/>
      <c r="J8" s="87">
        <v>0</v>
      </c>
      <c r="K8" s="152"/>
      <c r="L8" s="261">
        <v>0</v>
      </c>
      <c r="M8" s="261"/>
      <c r="N8" s="152"/>
      <c r="O8" s="151">
        <v>10991195674</v>
      </c>
      <c r="P8" s="152"/>
      <c r="Q8" s="151">
        <f t="shared" ref="Q8:Q16" si="0">L8+O8</f>
        <v>10991195674</v>
      </c>
      <c r="R8" s="50"/>
      <c r="S8" s="180">
        <v>1.2200000000000001E-2</v>
      </c>
      <c r="V8" s="27"/>
    </row>
    <row r="9" spans="1:22" ht="30" customHeight="1">
      <c r="A9" s="229" t="s">
        <v>40</v>
      </c>
      <c r="B9" s="229"/>
      <c r="D9" s="87">
        <v>0</v>
      </c>
      <c r="E9" s="152"/>
      <c r="F9" s="87">
        <v>0</v>
      </c>
      <c r="G9" s="152"/>
      <c r="H9" s="87">
        <f t="shared" ref="H9:H16" si="1">D9+F9</f>
        <v>0</v>
      </c>
      <c r="I9" s="50"/>
      <c r="J9" s="87">
        <v>0</v>
      </c>
      <c r="K9" s="152"/>
      <c r="L9" s="260">
        <v>0</v>
      </c>
      <c r="M9" s="260"/>
      <c r="N9" s="152"/>
      <c r="O9" s="87">
        <v>13532092266</v>
      </c>
      <c r="P9" s="152"/>
      <c r="Q9" s="87">
        <f t="shared" si="0"/>
        <v>13532092266</v>
      </c>
      <c r="R9" s="50"/>
      <c r="S9" s="181">
        <v>1.5100000000000001E-2</v>
      </c>
      <c r="V9" s="27"/>
    </row>
    <row r="10" spans="1:22" ht="30" customHeight="1">
      <c r="A10" s="229" t="s">
        <v>37</v>
      </c>
      <c r="B10" s="229"/>
      <c r="D10" s="87">
        <v>0</v>
      </c>
      <c r="E10" s="152"/>
      <c r="F10" s="87">
        <v>0</v>
      </c>
      <c r="G10" s="152"/>
      <c r="H10" s="87">
        <f t="shared" si="1"/>
        <v>0</v>
      </c>
      <c r="I10" s="50"/>
      <c r="J10" s="87">
        <v>0</v>
      </c>
      <c r="K10" s="152"/>
      <c r="L10" s="260">
        <v>0</v>
      </c>
      <c r="M10" s="260"/>
      <c r="N10" s="152"/>
      <c r="O10" s="87">
        <v>863780660</v>
      </c>
      <c r="P10" s="152"/>
      <c r="Q10" s="87">
        <f t="shared" si="0"/>
        <v>863780660</v>
      </c>
      <c r="R10" s="50"/>
      <c r="S10" s="181">
        <v>1E-3</v>
      </c>
      <c r="V10" s="27"/>
    </row>
    <row r="11" spans="1:22" ht="30" customHeight="1">
      <c r="A11" s="229" t="s">
        <v>146</v>
      </c>
      <c r="B11" s="229"/>
      <c r="D11" s="87">
        <v>0</v>
      </c>
      <c r="E11" s="152"/>
      <c r="F11" s="87">
        <v>0</v>
      </c>
      <c r="G11" s="152"/>
      <c r="H11" s="87">
        <f t="shared" si="1"/>
        <v>0</v>
      </c>
      <c r="I11" s="50"/>
      <c r="J11" s="87">
        <v>0</v>
      </c>
      <c r="K11" s="152"/>
      <c r="L11" s="260">
        <v>0</v>
      </c>
      <c r="M11" s="260"/>
      <c r="N11" s="152"/>
      <c r="O11" s="87">
        <v>933609051</v>
      </c>
      <c r="P11" s="152"/>
      <c r="Q11" s="87">
        <f t="shared" si="0"/>
        <v>933609051</v>
      </c>
      <c r="R11" s="50"/>
      <c r="S11" s="181">
        <v>1E-3</v>
      </c>
      <c r="V11" s="27"/>
    </row>
    <row r="12" spans="1:22" ht="30" customHeight="1">
      <c r="A12" s="229" t="s">
        <v>147</v>
      </c>
      <c r="B12" s="229"/>
      <c r="D12" s="87">
        <v>0</v>
      </c>
      <c r="E12" s="152"/>
      <c r="F12" s="87">
        <v>0</v>
      </c>
      <c r="G12" s="152"/>
      <c r="H12" s="87">
        <f t="shared" si="1"/>
        <v>0</v>
      </c>
      <c r="I12" s="50"/>
      <c r="J12" s="87">
        <v>0</v>
      </c>
      <c r="K12" s="152"/>
      <c r="L12" s="260">
        <v>0</v>
      </c>
      <c r="M12" s="260"/>
      <c r="N12" s="152"/>
      <c r="O12" s="87">
        <v>1115848444</v>
      </c>
      <c r="P12" s="152"/>
      <c r="Q12" s="87">
        <f t="shared" si="0"/>
        <v>1115848444</v>
      </c>
      <c r="R12" s="50"/>
      <c r="S12" s="181">
        <v>1.1999999999999999E-3</v>
      </c>
      <c r="V12" s="27"/>
    </row>
    <row r="13" spans="1:22" ht="30" customHeight="1">
      <c r="A13" s="229" t="s">
        <v>148</v>
      </c>
      <c r="B13" s="229"/>
      <c r="D13" s="87">
        <v>0</v>
      </c>
      <c r="E13" s="152"/>
      <c r="F13" s="87">
        <v>0</v>
      </c>
      <c r="G13" s="152"/>
      <c r="H13" s="87">
        <f t="shared" si="1"/>
        <v>0</v>
      </c>
      <c r="I13" s="50"/>
      <c r="J13" s="145">
        <v>0</v>
      </c>
      <c r="K13" s="152"/>
      <c r="L13" s="260">
        <v>0</v>
      </c>
      <c r="M13" s="260"/>
      <c r="N13" s="152"/>
      <c r="O13" s="87">
        <v>171531</v>
      </c>
      <c r="P13" s="152"/>
      <c r="Q13" s="87">
        <f t="shared" si="0"/>
        <v>171531</v>
      </c>
      <c r="R13" s="50"/>
      <c r="S13" s="181">
        <v>0</v>
      </c>
      <c r="V13" s="27"/>
    </row>
    <row r="14" spans="1:22" ht="30" customHeight="1">
      <c r="A14" s="229" t="s">
        <v>41</v>
      </c>
      <c r="B14" s="229"/>
      <c r="D14" s="153">
        <f>'درآمد ناشی از تغییر قیمت اوراق'!I7</f>
        <v>-611823524</v>
      </c>
      <c r="E14" s="152"/>
      <c r="F14" s="87">
        <v>0</v>
      </c>
      <c r="G14" s="152"/>
      <c r="H14" s="153">
        <f t="shared" si="1"/>
        <v>-611823524</v>
      </c>
      <c r="I14" s="50"/>
      <c r="J14" s="174">
        <v>-7.3000000000000001E-3</v>
      </c>
      <c r="K14" s="152"/>
      <c r="L14" s="264">
        <v>-2465655673</v>
      </c>
      <c r="M14" s="264"/>
      <c r="N14" s="152"/>
      <c r="O14" s="87">
        <v>0</v>
      </c>
      <c r="P14" s="152"/>
      <c r="Q14" s="153">
        <f t="shared" si="0"/>
        <v>-2465655673</v>
      </c>
      <c r="R14" s="50"/>
      <c r="S14" s="156">
        <v>-2.7000000000000001E-3</v>
      </c>
      <c r="V14" s="27"/>
    </row>
    <row r="15" spans="1:22" ht="30" customHeight="1">
      <c r="A15" s="229" t="s">
        <v>39</v>
      </c>
      <c r="B15" s="229"/>
      <c r="D15" s="153">
        <f>'درآمد ناشی از تغییر قیمت اوراق'!I8</f>
        <v>-179274906</v>
      </c>
      <c r="E15" s="152"/>
      <c r="F15" s="87">
        <v>63179041</v>
      </c>
      <c r="G15" s="152"/>
      <c r="H15" s="153">
        <f t="shared" si="1"/>
        <v>-116095865</v>
      </c>
      <c r="I15" s="50"/>
      <c r="J15" s="174">
        <v>-1.4E-3</v>
      </c>
      <c r="K15" s="152"/>
      <c r="L15" s="260">
        <v>1106214482</v>
      </c>
      <c r="M15" s="260"/>
      <c r="N15" s="152"/>
      <c r="O15" s="87">
        <v>63179041</v>
      </c>
      <c r="P15" s="152"/>
      <c r="Q15" s="87">
        <f t="shared" si="0"/>
        <v>1169393523</v>
      </c>
      <c r="R15" s="50"/>
      <c r="S15" s="181">
        <v>1.2999999999999999E-3</v>
      </c>
      <c r="V15" s="27"/>
    </row>
    <row r="16" spans="1:22" ht="30" customHeight="1">
      <c r="A16" s="229" t="s">
        <v>272</v>
      </c>
      <c r="B16" s="229"/>
      <c r="D16" s="87">
        <v>0</v>
      </c>
      <c r="E16" s="152"/>
      <c r="F16" s="87">
        <v>13313134</v>
      </c>
      <c r="G16" s="152"/>
      <c r="H16" s="87">
        <f t="shared" si="1"/>
        <v>13313134</v>
      </c>
      <c r="I16" s="50"/>
      <c r="J16" s="174">
        <v>2.0000000000000001E-4</v>
      </c>
      <c r="K16" s="152"/>
      <c r="L16" s="260">
        <v>0</v>
      </c>
      <c r="M16" s="260"/>
      <c r="N16" s="152"/>
      <c r="O16" s="87">
        <v>13313134</v>
      </c>
      <c r="P16" s="152"/>
      <c r="Q16" s="87">
        <f t="shared" si="0"/>
        <v>13313134</v>
      </c>
      <c r="R16" s="50"/>
      <c r="S16" s="181">
        <v>0</v>
      </c>
      <c r="V16" s="27"/>
    </row>
    <row r="17" spans="1:22" ht="30" customHeight="1">
      <c r="A17" s="262" t="s">
        <v>290</v>
      </c>
      <c r="B17" s="262"/>
      <c r="D17" s="153">
        <v>-600018215</v>
      </c>
      <c r="E17" s="152"/>
      <c r="F17" s="87"/>
      <c r="G17" s="152"/>
      <c r="H17" s="87">
        <f>D17</f>
        <v>-600018215</v>
      </c>
      <c r="I17" s="50"/>
      <c r="J17" s="174">
        <v>-7.1000000000000004E-3</v>
      </c>
      <c r="K17" s="152"/>
      <c r="L17" s="87"/>
      <c r="M17" s="153">
        <v>-600018215</v>
      </c>
      <c r="N17" s="152"/>
      <c r="O17" s="87"/>
      <c r="P17" s="152"/>
      <c r="Q17" s="87">
        <f>M17</f>
        <v>-600018215</v>
      </c>
      <c r="R17" s="50"/>
      <c r="S17" s="181">
        <v>-6.9999999999999999E-4</v>
      </c>
      <c r="V17" s="27"/>
    </row>
    <row r="18" spans="1:22" ht="30" customHeight="1">
      <c r="A18" s="229" t="s">
        <v>291</v>
      </c>
      <c r="B18" s="229"/>
      <c r="D18" s="153">
        <v>-586494129</v>
      </c>
      <c r="E18" s="152"/>
      <c r="F18" s="87"/>
      <c r="G18" s="152"/>
      <c r="H18" s="87">
        <f>D18</f>
        <v>-586494129</v>
      </c>
      <c r="I18" s="50"/>
      <c r="J18" s="174">
        <v>-7.0000000000000001E-3</v>
      </c>
      <c r="K18" s="152"/>
      <c r="L18" s="87"/>
      <c r="M18" s="153">
        <v>-586494129</v>
      </c>
      <c r="N18" s="152"/>
      <c r="O18" s="87"/>
      <c r="P18" s="152"/>
      <c r="Q18" s="87">
        <f>M18</f>
        <v>-586494129</v>
      </c>
      <c r="R18" s="50"/>
      <c r="S18" s="181">
        <v>-6.9999999999999999E-4</v>
      </c>
      <c r="V18" s="27"/>
    </row>
    <row r="19" spans="1:22" ht="30" customHeight="1">
      <c r="A19" s="262" t="s">
        <v>292</v>
      </c>
      <c r="B19" s="262"/>
      <c r="D19" s="153">
        <v>-430036395</v>
      </c>
      <c r="E19" s="152"/>
      <c r="F19" s="87"/>
      <c r="G19" s="152"/>
      <c r="H19" s="87">
        <f>D19</f>
        <v>-430036395</v>
      </c>
      <c r="I19" s="50"/>
      <c r="J19" s="174">
        <v>-5.1000000000000004E-3</v>
      </c>
      <c r="K19" s="152"/>
      <c r="L19" s="87"/>
      <c r="M19" s="155">
        <v>-430036395</v>
      </c>
      <c r="N19" s="152"/>
      <c r="O19" s="87"/>
      <c r="P19" s="152"/>
      <c r="Q19" s="87">
        <f>M19</f>
        <v>-430036395</v>
      </c>
      <c r="R19" s="50"/>
      <c r="S19" s="181">
        <v>-5.0000000000000001E-4</v>
      </c>
      <c r="V19" s="27"/>
    </row>
    <row r="20" spans="1:22" s="30" customFormat="1" ht="30" customHeight="1" thickBot="1">
      <c r="A20" s="222" t="s">
        <v>14</v>
      </c>
      <c r="B20" s="222"/>
      <c r="D20" s="154">
        <f>SUM(D8:D19)</f>
        <v>-2407647169</v>
      </c>
      <c r="E20" s="111"/>
      <c r="F20" s="67">
        <f>SUM(F8:F19)</f>
        <v>76492175</v>
      </c>
      <c r="G20" s="111"/>
      <c r="H20" s="154">
        <f>SUM(H8:H19)</f>
        <v>-2331154994</v>
      </c>
      <c r="I20" s="56"/>
      <c r="J20" s="175">
        <f>SUM(J8:J19)</f>
        <v>-2.7699999999999999E-2</v>
      </c>
      <c r="K20" s="111"/>
      <c r="L20" s="263">
        <f>SUM(L8:M19)</f>
        <v>-2975989930</v>
      </c>
      <c r="M20" s="263"/>
      <c r="N20" s="111"/>
      <c r="O20" s="67">
        <f>SUM(O8:O19)</f>
        <v>27513189801</v>
      </c>
      <c r="P20" s="111"/>
      <c r="Q20" s="67">
        <f>SUM(Q8:Q19)</f>
        <v>24537199871</v>
      </c>
      <c r="R20" s="56"/>
      <c r="S20" s="172">
        <f>SUM(S8:S19)</f>
        <v>2.7200000000000002E-2</v>
      </c>
      <c r="U20" s="78"/>
    </row>
    <row r="21" spans="1:22" ht="30" customHeight="1" thickTop="1"/>
  </sheetData>
  <mergeCells count="36">
    <mergeCell ref="A8:B8"/>
    <mergeCell ref="A9:B9"/>
    <mergeCell ref="A10:B10"/>
    <mergeCell ref="A11:B11"/>
    <mergeCell ref="A15:B15"/>
    <mergeCell ref="A12:B12"/>
    <mergeCell ref="A13:B13"/>
    <mergeCell ref="A14:B14"/>
    <mergeCell ref="A1:S1"/>
    <mergeCell ref="A2:S2"/>
    <mergeCell ref="A3:S3"/>
    <mergeCell ref="A4:S4"/>
    <mergeCell ref="H6:J6"/>
    <mergeCell ref="Q6:S6"/>
    <mergeCell ref="D5:J5"/>
    <mergeCell ref="L5:S5"/>
    <mergeCell ref="D6:D7"/>
    <mergeCell ref="F6:F7"/>
    <mergeCell ref="L6:M7"/>
    <mergeCell ref="O6:O7"/>
    <mergeCell ref="A7:B7"/>
    <mergeCell ref="A19:B19"/>
    <mergeCell ref="L20:M20"/>
    <mergeCell ref="L16:M16"/>
    <mergeCell ref="L14:M14"/>
    <mergeCell ref="L13:M13"/>
    <mergeCell ref="A20:B20"/>
    <mergeCell ref="A16:B16"/>
    <mergeCell ref="A17:B17"/>
    <mergeCell ref="A18:B18"/>
    <mergeCell ref="L8:M8"/>
    <mergeCell ref="L12:M12"/>
    <mergeCell ref="L15:M15"/>
    <mergeCell ref="L11:M11"/>
    <mergeCell ref="L10:M10"/>
    <mergeCell ref="L9:M9"/>
  </mergeCells>
  <pageMargins left="0.39" right="0.39" top="0.39" bottom="0.39" header="0" footer="0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47"/>
  <sheetViews>
    <sheetView rightToLeft="1" view="pageBreakPreview" zoomScaleNormal="100" zoomScaleSheetLayoutView="100" workbookViewId="0">
      <selection activeCell="R48" sqref="R48"/>
    </sheetView>
  </sheetViews>
  <sheetFormatPr defaultRowHeight="30" customHeight="1"/>
  <cols>
    <col min="1" max="1" width="6.7109375" style="20" bestFit="1" customWidth="1"/>
    <col min="2" max="2" width="21.140625" style="20" customWidth="1"/>
    <col min="3" max="3" width="1.28515625" style="20" customWidth="1"/>
    <col min="4" max="4" width="16.5703125" style="31" bestFit="1" customWidth="1"/>
    <col min="5" max="5" width="1.28515625" style="31" customWidth="1"/>
    <col min="6" max="6" width="15.85546875" style="142" bestFit="1" customWidth="1"/>
    <col min="7" max="7" width="1.28515625" style="142" customWidth="1"/>
    <col min="8" max="8" width="16.85546875" style="142" bestFit="1" customWidth="1"/>
    <col min="9" max="9" width="1.28515625" style="142" customWidth="1"/>
    <col min="10" max="10" width="16.85546875" style="142" bestFit="1" customWidth="1"/>
    <col min="11" max="11" width="1.28515625" style="142" customWidth="1"/>
    <col min="12" max="12" width="18.140625" style="142" bestFit="1" customWidth="1"/>
    <col min="13" max="13" width="1.28515625" style="142" customWidth="1"/>
    <col min="14" max="14" width="16.85546875" style="142" bestFit="1" customWidth="1"/>
    <col min="15" max="15" width="1.28515625" style="142" customWidth="1"/>
    <col min="16" max="16" width="17.5703125" style="142" bestFit="1" customWidth="1"/>
    <col min="17" max="17" width="1.28515625" style="142" customWidth="1"/>
    <col min="18" max="18" width="18.7109375" style="142" bestFit="1" customWidth="1"/>
    <col min="19" max="19" width="0.28515625" style="20" customWidth="1"/>
    <col min="20" max="16384" width="9.140625" style="20"/>
  </cols>
  <sheetData>
    <row r="1" spans="1:18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</row>
    <row r="2" spans="1:18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</row>
    <row r="3" spans="1:18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1:18" s="21" customFormat="1" ht="30" customHeight="1">
      <c r="A4" s="221" t="s">
        <v>276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18" ht="30" customHeight="1">
      <c r="D5" s="223" t="s">
        <v>128</v>
      </c>
      <c r="E5" s="223"/>
      <c r="F5" s="223"/>
      <c r="G5" s="223"/>
      <c r="H5" s="223"/>
      <c r="I5" s="223"/>
      <c r="J5" s="223"/>
      <c r="L5" s="265" t="str">
        <f>'درآمد سرمایه گذاری در سهام'!$N$5</f>
        <v>از ابتدای سال مالی تا پایان ماه</v>
      </c>
      <c r="M5" s="265"/>
      <c r="N5" s="265"/>
      <c r="O5" s="265"/>
      <c r="P5" s="265"/>
      <c r="Q5" s="265"/>
      <c r="R5" s="265"/>
    </row>
    <row r="6" spans="1:18" ht="30" customHeight="1">
      <c r="A6" s="223" t="s">
        <v>149</v>
      </c>
      <c r="B6" s="223"/>
      <c r="D6" s="1" t="s">
        <v>150</v>
      </c>
      <c r="F6" s="112" t="s">
        <v>131</v>
      </c>
      <c r="H6" s="112" t="s">
        <v>132</v>
      </c>
      <c r="J6" s="112" t="s">
        <v>14</v>
      </c>
      <c r="L6" s="112" t="s">
        <v>150</v>
      </c>
      <c r="N6" s="112" t="s">
        <v>131</v>
      </c>
      <c r="P6" s="112" t="s">
        <v>132</v>
      </c>
      <c r="R6" s="112" t="s">
        <v>14</v>
      </c>
    </row>
    <row r="7" spans="1:18" ht="30" customHeight="1">
      <c r="A7" s="228" t="s">
        <v>66</v>
      </c>
      <c r="B7" s="228"/>
      <c r="D7" s="69">
        <v>0</v>
      </c>
      <c r="E7" s="70"/>
      <c r="F7" s="143">
        <v>0</v>
      </c>
      <c r="G7" s="144"/>
      <c r="H7" s="145">
        <v>0</v>
      </c>
      <c r="I7" s="144"/>
      <c r="J7" s="143">
        <f>D7+F7+H7</f>
        <v>0</v>
      </c>
      <c r="K7" s="144"/>
      <c r="L7" s="143">
        <v>63699976699</v>
      </c>
      <c r="M7" s="144"/>
      <c r="N7" s="145">
        <v>0</v>
      </c>
      <c r="O7" s="144"/>
      <c r="P7" s="146">
        <v>-15136656250</v>
      </c>
      <c r="Q7" s="144"/>
      <c r="R7" s="143">
        <f>L7+N7+P7</f>
        <v>48563320449</v>
      </c>
    </row>
    <row r="8" spans="1:18" ht="30" customHeight="1">
      <c r="A8" s="229" t="s">
        <v>151</v>
      </c>
      <c r="B8" s="229"/>
      <c r="D8" s="71">
        <v>0</v>
      </c>
      <c r="E8" s="70"/>
      <c r="F8" s="145">
        <v>0</v>
      </c>
      <c r="G8" s="144"/>
      <c r="H8" s="145">
        <v>0</v>
      </c>
      <c r="I8" s="144"/>
      <c r="J8" s="145">
        <f t="shared" ref="J8:J44" si="0">D8+F8+H8</f>
        <v>0</v>
      </c>
      <c r="K8" s="144"/>
      <c r="L8" s="145">
        <v>2303772647</v>
      </c>
      <c r="M8" s="144"/>
      <c r="N8" s="145">
        <v>0</v>
      </c>
      <c r="O8" s="144"/>
      <c r="P8" s="145">
        <v>30625000</v>
      </c>
      <c r="Q8" s="144"/>
      <c r="R8" s="145">
        <f t="shared" ref="R8:R44" si="1">L8+N8+P8</f>
        <v>2334397647</v>
      </c>
    </row>
    <row r="9" spans="1:18" ht="30" customHeight="1">
      <c r="A9" s="229" t="s">
        <v>152</v>
      </c>
      <c r="B9" s="229"/>
      <c r="D9" s="71">
        <v>0</v>
      </c>
      <c r="E9" s="70"/>
      <c r="F9" s="145">
        <v>0</v>
      </c>
      <c r="G9" s="144"/>
      <c r="H9" s="145">
        <v>0</v>
      </c>
      <c r="I9" s="144"/>
      <c r="J9" s="145">
        <f t="shared" si="0"/>
        <v>0</v>
      </c>
      <c r="K9" s="144"/>
      <c r="L9" s="145">
        <v>830465622</v>
      </c>
      <c r="M9" s="144"/>
      <c r="N9" s="145">
        <v>0</v>
      </c>
      <c r="O9" s="144"/>
      <c r="P9" s="145">
        <v>2500000</v>
      </c>
      <c r="Q9" s="144"/>
      <c r="R9" s="145">
        <f t="shared" si="1"/>
        <v>832965622</v>
      </c>
    </row>
    <row r="10" spans="1:18" ht="30" customHeight="1">
      <c r="A10" s="229" t="s">
        <v>153</v>
      </c>
      <c r="B10" s="229"/>
      <c r="D10" s="71">
        <v>0</v>
      </c>
      <c r="E10" s="70"/>
      <c r="F10" s="145">
        <v>0</v>
      </c>
      <c r="G10" s="144"/>
      <c r="H10" s="145">
        <v>0</v>
      </c>
      <c r="I10" s="144"/>
      <c r="J10" s="145">
        <f t="shared" si="0"/>
        <v>0</v>
      </c>
      <c r="K10" s="144"/>
      <c r="L10" s="145">
        <v>2433957924</v>
      </c>
      <c r="M10" s="144"/>
      <c r="N10" s="145">
        <v>0</v>
      </c>
      <c r="O10" s="144"/>
      <c r="P10" s="145">
        <v>4955630451</v>
      </c>
      <c r="Q10" s="144"/>
      <c r="R10" s="145">
        <f t="shared" si="1"/>
        <v>7389588375</v>
      </c>
    </row>
    <row r="11" spans="1:18" ht="30" customHeight="1">
      <c r="A11" s="229" t="s">
        <v>154</v>
      </c>
      <c r="B11" s="229"/>
      <c r="D11" s="71">
        <v>0</v>
      </c>
      <c r="E11" s="70"/>
      <c r="F11" s="145">
        <v>0</v>
      </c>
      <c r="G11" s="144"/>
      <c r="H11" s="145">
        <v>0</v>
      </c>
      <c r="I11" s="144"/>
      <c r="J11" s="145">
        <f t="shared" si="0"/>
        <v>0</v>
      </c>
      <c r="K11" s="144"/>
      <c r="L11" s="145">
        <v>0</v>
      </c>
      <c r="M11" s="144"/>
      <c r="N11" s="145">
        <v>0</v>
      </c>
      <c r="O11" s="144"/>
      <c r="P11" s="145">
        <v>2252879222</v>
      </c>
      <c r="Q11" s="144"/>
      <c r="R11" s="145">
        <f t="shared" si="1"/>
        <v>2252879222</v>
      </c>
    </row>
    <row r="12" spans="1:18" ht="30" customHeight="1">
      <c r="A12" s="229" t="s">
        <v>155</v>
      </c>
      <c r="B12" s="229"/>
      <c r="D12" s="71">
        <v>0</v>
      </c>
      <c r="E12" s="70"/>
      <c r="F12" s="145">
        <v>0</v>
      </c>
      <c r="G12" s="144"/>
      <c r="H12" s="145">
        <v>0</v>
      </c>
      <c r="I12" s="144"/>
      <c r="J12" s="145">
        <f t="shared" si="0"/>
        <v>0</v>
      </c>
      <c r="K12" s="144"/>
      <c r="L12" s="145">
        <v>0</v>
      </c>
      <c r="M12" s="144"/>
      <c r="N12" s="145">
        <v>0</v>
      </c>
      <c r="O12" s="144"/>
      <c r="P12" s="145">
        <v>4513615830</v>
      </c>
      <c r="Q12" s="144"/>
      <c r="R12" s="145">
        <f t="shared" si="1"/>
        <v>4513615830</v>
      </c>
    </row>
    <row r="13" spans="1:18" ht="30" customHeight="1">
      <c r="A13" s="229" t="s">
        <v>156</v>
      </c>
      <c r="B13" s="229"/>
      <c r="D13" s="71">
        <v>0</v>
      </c>
      <c r="E13" s="70"/>
      <c r="F13" s="145">
        <v>0</v>
      </c>
      <c r="G13" s="144"/>
      <c r="H13" s="145">
        <v>0</v>
      </c>
      <c r="I13" s="144"/>
      <c r="J13" s="145">
        <f t="shared" si="0"/>
        <v>0</v>
      </c>
      <c r="K13" s="144"/>
      <c r="L13" s="145">
        <v>0</v>
      </c>
      <c r="M13" s="144"/>
      <c r="N13" s="145">
        <v>0</v>
      </c>
      <c r="O13" s="144"/>
      <c r="P13" s="145">
        <v>5727988726</v>
      </c>
      <c r="Q13" s="144"/>
      <c r="R13" s="145">
        <f t="shared" si="1"/>
        <v>5727988726</v>
      </c>
    </row>
    <row r="14" spans="1:18" ht="30" customHeight="1">
      <c r="A14" s="229" t="s">
        <v>157</v>
      </c>
      <c r="B14" s="229"/>
      <c r="D14" s="71">
        <v>0</v>
      </c>
      <c r="E14" s="70"/>
      <c r="F14" s="145">
        <v>0</v>
      </c>
      <c r="G14" s="144"/>
      <c r="H14" s="145">
        <v>0</v>
      </c>
      <c r="I14" s="144"/>
      <c r="J14" s="145">
        <f t="shared" si="0"/>
        <v>0</v>
      </c>
      <c r="K14" s="144"/>
      <c r="L14" s="145">
        <v>0</v>
      </c>
      <c r="M14" s="144"/>
      <c r="N14" s="145">
        <v>0</v>
      </c>
      <c r="O14" s="144"/>
      <c r="P14" s="145">
        <v>1740407010</v>
      </c>
      <c r="Q14" s="144"/>
      <c r="R14" s="145">
        <f t="shared" si="1"/>
        <v>1740407010</v>
      </c>
    </row>
    <row r="15" spans="1:18" ht="30" customHeight="1">
      <c r="A15" s="229" t="s">
        <v>158</v>
      </c>
      <c r="B15" s="229"/>
      <c r="D15" s="71">
        <v>0</v>
      </c>
      <c r="E15" s="70"/>
      <c r="F15" s="145">
        <v>0</v>
      </c>
      <c r="G15" s="144"/>
      <c r="H15" s="145">
        <v>0</v>
      </c>
      <c r="I15" s="144"/>
      <c r="J15" s="145">
        <f t="shared" si="0"/>
        <v>0</v>
      </c>
      <c r="K15" s="144"/>
      <c r="L15" s="145">
        <v>0</v>
      </c>
      <c r="M15" s="144"/>
      <c r="N15" s="145">
        <v>0</v>
      </c>
      <c r="O15" s="144"/>
      <c r="P15" s="145">
        <v>684407956</v>
      </c>
      <c r="Q15" s="144"/>
      <c r="R15" s="145">
        <f t="shared" si="1"/>
        <v>684407956</v>
      </c>
    </row>
    <row r="16" spans="1:18" ht="30" customHeight="1">
      <c r="A16" s="229" t="s">
        <v>159</v>
      </c>
      <c r="B16" s="229"/>
      <c r="D16" s="71">
        <v>0</v>
      </c>
      <c r="E16" s="70"/>
      <c r="F16" s="145">
        <v>0</v>
      </c>
      <c r="G16" s="144"/>
      <c r="H16" s="145">
        <v>0</v>
      </c>
      <c r="I16" s="144"/>
      <c r="J16" s="145">
        <f t="shared" si="0"/>
        <v>0</v>
      </c>
      <c r="K16" s="144"/>
      <c r="L16" s="145">
        <v>0</v>
      </c>
      <c r="M16" s="144"/>
      <c r="N16" s="145">
        <v>0</v>
      </c>
      <c r="O16" s="144"/>
      <c r="P16" s="145">
        <v>2307954944</v>
      </c>
      <c r="Q16" s="144"/>
      <c r="R16" s="145">
        <f t="shared" si="1"/>
        <v>2307954944</v>
      </c>
    </row>
    <row r="17" spans="1:18" ht="30" customHeight="1">
      <c r="A17" s="229" t="s">
        <v>160</v>
      </c>
      <c r="B17" s="229"/>
      <c r="D17" s="71">
        <v>0</v>
      </c>
      <c r="E17" s="70"/>
      <c r="F17" s="145">
        <v>0</v>
      </c>
      <c r="G17" s="144"/>
      <c r="H17" s="145">
        <v>0</v>
      </c>
      <c r="I17" s="144"/>
      <c r="J17" s="145">
        <f t="shared" si="0"/>
        <v>0</v>
      </c>
      <c r="K17" s="144"/>
      <c r="L17" s="145">
        <v>0</v>
      </c>
      <c r="M17" s="144"/>
      <c r="N17" s="145">
        <v>0</v>
      </c>
      <c r="O17" s="144"/>
      <c r="P17" s="145">
        <v>3958477520</v>
      </c>
      <c r="Q17" s="144"/>
      <c r="R17" s="145">
        <f t="shared" si="1"/>
        <v>3958477520</v>
      </c>
    </row>
    <row r="18" spans="1:18" ht="30" customHeight="1">
      <c r="A18" s="229" t="s">
        <v>161</v>
      </c>
      <c r="B18" s="229"/>
      <c r="D18" s="71">
        <v>0</v>
      </c>
      <c r="E18" s="70"/>
      <c r="F18" s="145">
        <v>0</v>
      </c>
      <c r="G18" s="144"/>
      <c r="H18" s="145">
        <v>0</v>
      </c>
      <c r="I18" s="144"/>
      <c r="J18" s="145">
        <f t="shared" si="0"/>
        <v>0</v>
      </c>
      <c r="K18" s="144"/>
      <c r="L18" s="145">
        <v>0</v>
      </c>
      <c r="M18" s="144"/>
      <c r="N18" s="145">
        <v>0</v>
      </c>
      <c r="O18" s="144"/>
      <c r="P18" s="145">
        <v>1545509112</v>
      </c>
      <c r="Q18" s="144"/>
      <c r="R18" s="145">
        <f t="shared" si="1"/>
        <v>1545509112</v>
      </c>
    </row>
    <row r="19" spans="1:18" ht="30" customHeight="1">
      <c r="A19" s="229" t="s">
        <v>162</v>
      </c>
      <c r="B19" s="229"/>
      <c r="D19" s="71">
        <v>0</v>
      </c>
      <c r="E19" s="70"/>
      <c r="F19" s="145">
        <v>0</v>
      </c>
      <c r="G19" s="144"/>
      <c r="H19" s="145">
        <v>0</v>
      </c>
      <c r="I19" s="144"/>
      <c r="J19" s="145">
        <f t="shared" si="0"/>
        <v>0</v>
      </c>
      <c r="K19" s="144"/>
      <c r="L19" s="145">
        <v>0</v>
      </c>
      <c r="M19" s="144"/>
      <c r="N19" s="145">
        <v>0</v>
      </c>
      <c r="O19" s="144"/>
      <c r="P19" s="145">
        <v>5001783422</v>
      </c>
      <c r="Q19" s="144"/>
      <c r="R19" s="145">
        <f t="shared" si="1"/>
        <v>5001783422</v>
      </c>
    </row>
    <row r="20" spans="1:18" ht="30" customHeight="1">
      <c r="A20" s="229" t="s">
        <v>163</v>
      </c>
      <c r="B20" s="229"/>
      <c r="D20" s="71">
        <v>0</v>
      </c>
      <c r="E20" s="70"/>
      <c r="F20" s="145">
        <v>0</v>
      </c>
      <c r="G20" s="144"/>
      <c r="H20" s="145">
        <v>0</v>
      </c>
      <c r="I20" s="144"/>
      <c r="J20" s="145">
        <f t="shared" si="0"/>
        <v>0</v>
      </c>
      <c r="K20" s="144"/>
      <c r="L20" s="145">
        <v>0</v>
      </c>
      <c r="M20" s="144"/>
      <c r="N20" s="145">
        <v>0</v>
      </c>
      <c r="O20" s="144"/>
      <c r="P20" s="145">
        <v>780231019</v>
      </c>
      <c r="Q20" s="144"/>
      <c r="R20" s="145">
        <f t="shared" si="1"/>
        <v>780231019</v>
      </c>
    </row>
    <row r="21" spans="1:18" ht="30" customHeight="1">
      <c r="A21" s="229" t="s">
        <v>164</v>
      </c>
      <c r="B21" s="229"/>
      <c r="D21" s="71">
        <v>0</v>
      </c>
      <c r="E21" s="70"/>
      <c r="F21" s="145">
        <v>0</v>
      </c>
      <c r="G21" s="144"/>
      <c r="H21" s="145">
        <v>0</v>
      </c>
      <c r="I21" s="144"/>
      <c r="J21" s="145">
        <f t="shared" si="0"/>
        <v>0</v>
      </c>
      <c r="K21" s="144"/>
      <c r="L21" s="146">
        <v>-5054916874</v>
      </c>
      <c r="M21" s="144"/>
      <c r="N21" s="145">
        <v>0</v>
      </c>
      <c r="O21" s="144"/>
      <c r="P21" s="145">
        <v>337724777</v>
      </c>
      <c r="Q21" s="144"/>
      <c r="R21" s="145">
        <f t="shared" si="1"/>
        <v>-4717192097</v>
      </c>
    </row>
    <row r="22" spans="1:18" ht="30" customHeight="1">
      <c r="A22" s="229" t="s">
        <v>165</v>
      </c>
      <c r="B22" s="229"/>
      <c r="D22" s="71">
        <v>0</v>
      </c>
      <c r="E22" s="70"/>
      <c r="F22" s="145">
        <v>0</v>
      </c>
      <c r="G22" s="144"/>
      <c r="H22" s="145">
        <v>0</v>
      </c>
      <c r="I22" s="144"/>
      <c r="J22" s="145">
        <f t="shared" si="0"/>
        <v>0</v>
      </c>
      <c r="K22" s="144"/>
      <c r="L22" s="145">
        <v>0</v>
      </c>
      <c r="M22" s="144"/>
      <c r="N22" s="145">
        <v>0</v>
      </c>
      <c r="O22" s="144"/>
      <c r="P22" s="145">
        <v>707881574</v>
      </c>
      <c r="Q22" s="144"/>
      <c r="R22" s="145">
        <f t="shared" si="1"/>
        <v>707881574</v>
      </c>
    </row>
    <row r="23" spans="1:18" ht="30" customHeight="1">
      <c r="A23" s="229" t="s">
        <v>166</v>
      </c>
      <c r="B23" s="229"/>
      <c r="D23" s="71">
        <v>1788756036</v>
      </c>
      <c r="E23" s="70"/>
      <c r="F23" s="145">
        <v>0</v>
      </c>
      <c r="G23" s="144"/>
      <c r="H23" s="145">
        <v>0</v>
      </c>
      <c r="I23" s="144"/>
      <c r="J23" s="145">
        <f t="shared" si="0"/>
        <v>1788756036</v>
      </c>
      <c r="K23" s="144"/>
      <c r="L23" s="145">
        <v>2050106476</v>
      </c>
      <c r="M23" s="144"/>
      <c r="N23" s="145">
        <v>0</v>
      </c>
      <c r="O23" s="144"/>
      <c r="P23" s="145">
        <v>3230991904</v>
      </c>
      <c r="Q23" s="144"/>
      <c r="R23" s="145">
        <f t="shared" si="1"/>
        <v>5281098380</v>
      </c>
    </row>
    <row r="24" spans="1:18" ht="30" customHeight="1">
      <c r="A24" s="229" t="s">
        <v>167</v>
      </c>
      <c r="B24" s="229"/>
      <c r="D24" s="71">
        <v>0</v>
      </c>
      <c r="E24" s="70"/>
      <c r="F24" s="145">
        <v>0</v>
      </c>
      <c r="G24" s="144"/>
      <c r="H24" s="145">
        <v>0</v>
      </c>
      <c r="I24" s="144"/>
      <c r="J24" s="145">
        <f t="shared" si="0"/>
        <v>0</v>
      </c>
      <c r="K24" s="144"/>
      <c r="L24" s="145">
        <v>0</v>
      </c>
      <c r="M24" s="144"/>
      <c r="N24" s="145">
        <v>0</v>
      </c>
      <c r="O24" s="144"/>
      <c r="P24" s="145">
        <v>201613466</v>
      </c>
      <c r="Q24" s="144"/>
      <c r="R24" s="145">
        <f t="shared" si="1"/>
        <v>201613466</v>
      </c>
    </row>
    <row r="25" spans="1:18" ht="30" customHeight="1">
      <c r="A25" s="229" t="s">
        <v>168</v>
      </c>
      <c r="B25" s="229"/>
      <c r="D25" s="71">
        <v>0</v>
      </c>
      <c r="E25" s="70"/>
      <c r="F25" s="145">
        <v>0</v>
      </c>
      <c r="G25" s="144"/>
      <c r="H25" s="145">
        <v>0</v>
      </c>
      <c r="I25" s="144"/>
      <c r="J25" s="145">
        <f t="shared" si="0"/>
        <v>0</v>
      </c>
      <c r="K25" s="144"/>
      <c r="L25" s="145">
        <v>263076257</v>
      </c>
      <c r="M25" s="144"/>
      <c r="N25" s="145">
        <v>0</v>
      </c>
      <c r="O25" s="144"/>
      <c r="P25" s="146">
        <v>-623886900</v>
      </c>
      <c r="Q25" s="144"/>
      <c r="R25" s="145">
        <f t="shared" si="1"/>
        <v>-360810643</v>
      </c>
    </row>
    <row r="26" spans="1:18" ht="30" customHeight="1">
      <c r="A26" s="229" t="s">
        <v>169</v>
      </c>
      <c r="B26" s="229"/>
      <c r="D26" s="71">
        <v>0</v>
      </c>
      <c r="E26" s="70"/>
      <c r="F26" s="145">
        <v>0</v>
      </c>
      <c r="G26" s="144"/>
      <c r="H26" s="145">
        <v>0</v>
      </c>
      <c r="I26" s="144"/>
      <c r="J26" s="145">
        <f t="shared" si="0"/>
        <v>0</v>
      </c>
      <c r="K26" s="144"/>
      <c r="L26" s="145">
        <v>0</v>
      </c>
      <c r="M26" s="144"/>
      <c r="N26" s="145">
        <v>0</v>
      </c>
      <c r="O26" s="144"/>
      <c r="P26" s="145">
        <v>507917930</v>
      </c>
      <c r="Q26" s="144"/>
      <c r="R26" s="145">
        <f t="shared" si="1"/>
        <v>507917930</v>
      </c>
    </row>
    <row r="27" spans="1:18" ht="30" customHeight="1">
      <c r="A27" s="229" t="s">
        <v>170</v>
      </c>
      <c r="B27" s="229"/>
      <c r="D27" s="71">
        <v>0</v>
      </c>
      <c r="E27" s="70"/>
      <c r="F27" s="145">
        <v>0</v>
      </c>
      <c r="G27" s="144"/>
      <c r="H27" s="145">
        <v>0</v>
      </c>
      <c r="I27" s="144"/>
      <c r="J27" s="145">
        <f t="shared" si="0"/>
        <v>0</v>
      </c>
      <c r="K27" s="144"/>
      <c r="L27" s="145">
        <v>0</v>
      </c>
      <c r="M27" s="144"/>
      <c r="N27" s="145">
        <v>0</v>
      </c>
      <c r="O27" s="144"/>
      <c r="P27" s="145">
        <v>196289427</v>
      </c>
      <c r="Q27" s="144"/>
      <c r="R27" s="145">
        <f t="shared" si="1"/>
        <v>196289427</v>
      </c>
    </row>
    <row r="28" spans="1:18" ht="30" customHeight="1">
      <c r="A28" s="229" t="s">
        <v>171</v>
      </c>
      <c r="B28" s="229"/>
      <c r="D28" s="71">
        <v>0</v>
      </c>
      <c r="E28" s="70"/>
      <c r="F28" s="145">
        <v>0</v>
      </c>
      <c r="G28" s="144"/>
      <c r="H28" s="145">
        <v>0</v>
      </c>
      <c r="I28" s="144"/>
      <c r="J28" s="145">
        <f t="shared" si="0"/>
        <v>0</v>
      </c>
      <c r="K28" s="144"/>
      <c r="L28" s="145">
        <v>0</v>
      </c>
      <c r="M28" s="144"/>
      <c r="N28" s="145">
        <v>0</v>
      </c>
      <c r="O28" s="144"/>
      <c r="P28" s="145">
        <v>8104669803</v>
      </c>
      <c r="Q28" s="144"/>
      <c r="R28" s="145">
        <f t="shared" si="1"/>
        <v>8104669803</v>
      </c>
    </row>
    <row r="29" spans="1:18" ht="30" customHeight="1">
      <c r="A29" s="229" t="s">
        <v>172</v>
      </c>
      <c r="B29" s="229"/>
      <c r="D29" s="71">
        <v>0</v>
      </c>
      <c r="E29" s="70"/>
      <c r="F29" s="145">
        <v>0</v>
      </c>
      <c r="G29" s="144"/>
      <c r="H29" s="145">
        <v>0</v>
      </c>
      <c r="I29" s="144"/>
      <c r="J29" s="145">
        <f t="shared" si="0"/>
        <v>0</v>
      </c>
      <c r="K29" s="144"/>
      <c r="L29" s="145">
        <v>0</v>
      </c>
      <c r="M29" s="144"/>
      <c r="N29" s="145">
        <v>0</v>
      </c>
      <c r="O29" s="144"/>
      <c r="P29" s="145">
        <v>380441036</v>
      </c>
      <c r="Q29" s="144"/>
      <c r="R29" s="145">
        <f t="shared" si="1"/>
        <v>380441036</v>
      </c>
    </row>
    <row r="30" spans="1:18" ht="30" customHeight="1">
      <c r="A30" s="229" t="s">
        <v>173</v>
      </c>
      <c r="B30" s="229"/>
      <c r="D30" s="71">
        <v>0</v>
      </c>
      <c r="E30" s="70"/>
      <c r="F30" s="145">
        <v>0</v>
      </c>
      <c r="G30" s="144"/>
      <c r="H30" s="145">
        <v>0</v>
      </c>
      <c r="I30" s="144"/>
      <c r="J30" s="145">
        <f t="shared" si="0"/>
        <v>0</v>
      </c>
      <c r="K30" s="144"/>
      <c r="L30" s="145">
        <v>0</v>
      </c>
      <c r="M30" s="144"/>
      <c r="N30" s="145">
        <v>0</v>
      </c>
      <c r="O30" s="144"/>
      <c r="P30" s="145">
        <v>125967166</v>
      </c>
      <c r="Q30" s="144"/>
      <c r="R30" s="145">
        <f t="shared" si="1"/>
        <v>125967166</v>
      </c>
    </row>
    <row r="31" spans="1:18" ht="30" customHeight="1">
      <c r="A31" s="229" t="s">
        <v>174</v>
      </c>
      <c r="B31" s="229"/>
      <c r="D31" s="71">
        <v>0</v>
      </c>
      <c r="E31" s="70"/>
      <c r="F31" s="145">
        <v>0</v>
      </c>
      <c r="G31" s="144"/>
      <c r="H31" s="145">
        <v>0</v>
      </c>
      <c r="I31" s="144"/>
      <c r="J31" s="145">
        <f t="shared" si="0"/>
        <v>0</v>
      </c>
      <c r="K31" s="144"/>
      <c r="L31" s="145">
        <v>43943210924</v>
      </c>
      <c r="M31" s="144"/>
      <c r="N31" s="145">
        <v>0</v>
      </c>
      <c r="O31" s="144"/>
      <c r="P31" s="145">
        <v>1016131250</v>
      </c>
      <c r="Q31" s="144"/>
      <c r="R31" s="145">
        <f t="shared" si="1"/>
        <v>44959342174</v>
      </c>
    </row>
    <row r="32" spans="1:18" ht="30" customHeight="1">
      <c r="A32" s="229" t="s">
        <v>71</v>
      </c>
      <c r="B32" s="229"/>
      <c r="D32" s="71">
        <v>0</v>
      </c>
      <c r="E32" s="70"/>
      <c r="F32" s="141">
        <v>-674377746</v>
      </c>
      <c r="G32" s="144"/>
      <c r="H32" s="145">
        <v>0</v>
      </c>
      <c r="I32" s="144"/>
      <c r="J32" s="141">
        <f t="shared" si="0"/>
        <v>-674377746</v>
      </c>
      <c r="K32" s="144"/>
      <c r="L32" s="145">
        <f>'سود اوراق بهادار'!Q11</f>
        <v>15125287614</v>
      </c>
      <c r="M32" s="144"/>
      <c r="N32" s="146">
        <v>-3656837079</v>
      </c>
      <c r="O32" s="144"/>
      <c r="P32" s="145">
        <v>34843686</v>
      </c>
      <c r="Q32" s="144"/>
      <c r="R32" s="145">
        <f t="shared" si="1"/>
        <v>11503294221</v>
      </c>
    </row>
    <row r="33" spans="1:18" ht="30" customHeight="1">
      <c r="A33" s="229" t="s">
        <v>60</v>
      </c>
      <c r="B33" s="229"/>
      <c r="D33" s="71">
        <f>'سود اوراق بهادار'!K7</f>
        <v>14288513196</v>
      </c>
      <c r="E33" s="70"/>
      <c r="F33" s="145">
        <v>0</v>
      </c>
      <c r="G33" s="144"/>
      <c r="H33" s="145">
        <v>0</v>
      </c>
      <c r="I33" s="144"/>
      <c r="J33" s="145">
        <f t="shared" si="0"/>
        <v>14288513196</v>
      </c>
      <c r="K33" s="144"/>
      <c r="L33" s="145">
        <f>'سود اوراق بهادار'!Q7</f>
        <v>69370737655</v>
      </c>
      <c r="M33" s="144"/>
      <c r="N33" s="141">
        <v>-90625000</v>
      </c>
      <c r="O33" s="144"/>
      <c r="P33" s="145">
        <v>0</v>
      </c>
      <c r="Q33" s="144"/>
      <c r="R33" s="145">
        <f t="shared" si="1"/>
        <v>69280112655</v>
      </c>
    </row>
    <row r="34" spans="1:18" ht="30" customHeight="1">
      <c r="A34" s="229" t="s">
        <v>79</v>
      </c>
      <c r="B34" s="229"/>
      <c r="D34" s="71">
        <f>'سود اوراق بهادار'!K8</f>
        <v>5324178075</v>
      </c>
      <c r="E34" s="70"/>
      <c r="F34" s="145">
        <v>0</v>
      </c>
      <c r="G34" s="144"/>
      <c r="H34" s="145">
        <v>0</v>
      </c>
      <c r="I34" s="144"/>
      <c r="J34" s="145">
        <f t="shared" si="0"/>
        <v>5324178075</v>
      </c>
      <c r="K34" s="144"/>
      <c r="L34" s="145">
        <f>'سود اوراق بهادار'!Q8</f>
        <v>40096193864</v>
      </c>
      <c r="M34" s="144"/>
      <c r="N34" s="146">
        <v>-36250000</v>
      </c>
      <c r="O34" s="144"/>
      <c r="P34" s="145">
        <v>0</v>
      </c>
      <c r="Q34" s="144"/>
      <c r="R34" s="145">
        <f t="shared" si="1"/>
        <v>40059943864</v>
      </c>
    </row>
    <row r="35" spans="1:18" ht="30" customHeight="1">
      <c r="A35" s="229" t="s">
        <v>74</v>
      </c>
      <c r="B35" s="229"/>
      <c r="D35" s="71">
        <f>'سود اوراق بهادار'!K9</f>
        <v>1867147845</v>
      </c>
      <c r="E35" s="70"/>
      <c r="F35" s="145">
        <v>0</v>
      </c>
      <c r="G35" s="144"/>
      <c r="H35" s="145">
        <v>0</v>
      </c>
      <c r="I35" s="144"/>
      <c r="J35" s="145">
        <f t="shared" si="0"/>
        <v>1867147845</v>
      </c>
      <c r="K35" s="144"/>
      <c r="L35" s="145">
        <f>'سود اوراق بهادار'!Q9</f>
        <v>16116422317</v>
      </c>
      <c r="M35" s="144"/>
      <c r="N35" s="145">
        <v>1342315941</v>
      </c>
      <c r="O35" s="144"/>
      <c r="P35" s="145">
        <v>0</v>
      </c>
      <c r="Q35" s="144"/>
      <c r="R35" s="145">
        <f t="shared" si="1"/>
        <v>17458738258</v>
      </c>
    </row>
    <row r="36" spans="1:18" ht="30" customHeight="1">
      <c r="A36" s="229" t="s">
        <v>77</v>
      </c>
      <c r="B36" s="229"/>
      <c r="D36" s="71">
        <f>'سود اوراق بهادار'!K10</f>
        <v>1928499295</v>
      </c>
      <c r="E36" s="70"/>
      <c r="F36" s="145">
        <v>0</v>
      </c>
      <c r="G36" s="144"/>
      <c r="H36" s="145">
        <v>0</v>
      </c>
      <c r="I36" s="144"/>
      <c r="J36" s="145">
        <f t="shared" si="0"/>
        <v>1928499295</v>
      </c>
      <c r="K36" s="144"/>
      <c r="L36" s="145">
        <f>'سود اوراق بهادار'!Q10</f>
        <v>16645981811</v>
      </c>
      <c r="M36" s="144"/>
      <c r="N36" s="141">
        <v>-212641450</v>
      </c>
      <c r="O36" s="144"/>
      <c r="P36" s="145">
        <v>0</v>
      </c>
      <c r="Q36" s="144"/>
      <c r="R36" s="145">
        <f t="shared" si="1"/>
        <v>16433340361</v>
      </c>
    </row>
    <row r="37" spans="1:18" ht="30" customHeight="1">
      <c r="A37" s="229" t="s">
        <v>63</v>
      </c>
      <c r="B37" s="229"/>
      <c r="D37" s="71">
        <v>11718497740</v>
      </c>
      <c r="E37" s="70"/>
      <c r="F37" s="145">
        <v>0</v>
      </c>
      <c r="G37" s="144"/>
      <c r="H37" s="145">
        <v>0</v>
      </c>
      <c r="I37" s="144"/>
      <c r="J37" s="145">
        <f t="shared" si="0"/>
        <v>11718497740</v>
      </c>
      <c r="K37" s="144"/>
      <c r="L37" s="145">
        <v>88970002411</v>
      </c>
      <c r="M37" s="144"/>
      <c r="N37" s="145">
        <v>8996520000</v>
      </c>
      <c r="O37" s="144"/>
      <c r="P37" s="145">
        <v>0</v>
      </c>
      <c r="Q37" s="144"/>
      <c r="R37" s="145">
        <f t="shared" si="1"/>
        <v>97966522411</v>
      </c>
    </row>
    <row r="38" spans="1:18" ht="30" customHeight="1">
      <c r="A38" s="229" t="s">
        <v>68</v>
      </c>
      <c r="B38" s="229"/>
      <c r="D38" s="71">
        <v>7367699765</v>
      </c>
      <c r="E38" s="70"/>
      <c r="F38" s="141">
        <v>-738125212</v>
      </c>
      <c r="G38" s="144"/>
      <c r="H38" s="145">
        <v>1264535825</v>
      </c>
      <c r="I38" s="144"/>
      <c r="J38" s="145">
        <f t="shared" si="0"/>
        <v>7894110378</v>
      </c>
      <c r="K38" s="144"/>
      <c r="L38" s="145">
        <v>49991453514</v>
      </c>
      <c r="M38" s="144"/>
      <c r="N38" s="141">
        <v>-16423285971</v>
      </c>
      <c r="O38" s="144"/>
      <c r="P38" s="145">
        <v>1188043650</v>
      </c>
      <c r="Q38" s="144"/>
      <c r="R38" s="145">
        <f t="shared" si="1"/>
        <v>34756211193</v>
      </c>
    </row>
    <row r="39" spans="1:18" ht="30" customHeight="1">
      <c r="A39" s="229" t="s">
        <v>55</v>
      </c>
      <c r="B39" s="229"/>
      <c r="D39" s="71">
        <v>0</v>
      </c>
      <c r="E39" s="70"/>
      <c r="F39" s="145">
        <v>36321936</v>
      </c>
      <c r="G39" s="144"/>
      <c r="H39" s="145">
        <v>0</v>
      </c>
      <c r="I39" s="144"/>
      <c r="J39" s="145">
        <f t="shared" si="0"/>
        <v>36321936</v>
      </c>
      <c r="K39" s="144"/>
      <c r="L39" s="145">
        <v>0</v>
      </c>
      <c r="M39" s="144"/>
      <c r="N39" s="145">
        <v>858258180</v>
      </c>
      <c r="O39" s="144"/>
      <c r="P39" s="145">
        <v>0</v>
      </c>
      <c r="Q39" s="144"/>
      <c r="R39" s="145">
        <f t="shared" si="1"/>
        <v>858258180</v>
      </c>
    </row>
    <row r="40" spans="1:18" ht="30" customHeight="1">
      <c r="A40" s="229" t="s">
        <v>58</v>
      </c>
      <c r="B40" s="229"/>
      <c r="D40" s="71">
        <v>0</v>
      </c>
      <c r="E40" s="70"/>
      <c r="F40" s="141">
        <v>-132107782</v>
      </c>
      <c r="G40" s="144"/>
      <c r="H40" s="145">
        <v>0</v>
      </c>
      <c r="I40" s="144"/>
      <c r="J40" s="141">
        <f t="shared" si="0"/>
        <v>-132107782</v>
      </c>
      <c r="K40" s="144"/>
      <c r="L40" s="145">
        <v>0</v>
      </c>
      <c r="M40" s="144"/>
      <c r="N40" s="145">
        <v>163350273</v>
      </c>
      <c r="O40" s="144"/>
      <c r="P40" s="145">
        <v>0</v>
      </c>
      <c r="Q40" s="144"/>
      <c r="R40" s="145">
        <f t="shared" si="1"/>
        <v>163350273</v>
      </c>
    </row>
    <row r="41" spans="1:18" ht="30" customHeight="1">
      <c r="A41" s="229" t="s">
        <v>49</v>
      </c>
      <c r="B41" s="229"/>
      <c r="D41" s="71">
        <v>0</v>
      </c>
      <c r="E41" s="70"/>
      <c r="F41" s="145">
        <v>60218240</v>
      </c>
      <c r="G41" s="144"/>
      <c r="H41" s="145">
        <v>0</v>
      </c>
      <c r="I41" s="144"/>
      <c r="J41" s="145">
        <f t="shared" si="0"/>
        <v>60218240</v>
      </c>
      <c r="K41" s="144"/>
      <c r="L41" s="145">
        <v>0</v>
      </c>
      <c r="M41" s="144"/>
      <c r="N41" s="145">
        <v>396904685</v>
      </c>
      <c r="O41" s="144"/>
      <c r="P41" s="145">
        <v>0</v>
      </c>
      <c r="Q41" s="144"/>
      <c r="R41" s="145">
        <f t="shared" si="1"/>
        <v>396904685</v>
      </c>
    </row>
    <row r="42" spans="1:18" ht="30" customHeight="1">
      <c r="A42" s="229" t="s">
        <v>82</v>
      </c>
      <c r="B42" s="229"/>
      <c r="D42" s="71">
        <v>0</v>
      </c>
      <c r="E42" s="70"/>
      <c r="F42" s="141">
        <v>-262060475</v>
      </c>
      <c r="G42" s="144"/>
      <c r="H42" s="145">
        <v>5911237</v>
      </c>
      <c r="I42" s="144"/>
      <c r="J42" s="141">
        <f t="shared" si="0"/>
        <v>-256149238</v>
      </c>
      <c r="K42" s="144"/>
      <c r="L42" s="145">
        <v>0</v>
      </c>
      <c r="M42" s="144"/>
      <c r="N42" s="145">
        <v>394571279</v>
      </c>
      <c r="O42" s="144"/>
      <c r="P42" s="145">
        <v>5911237</v>
      </c>
      <c r="Q42" s="144"/>
      <c r="R42" s="145">
        <f t="shared" si="1"/>
        <v>400482516</v>
      </c>
    </row>
    <row r="43" spans="1:18" ht="30" customHeight="1">
      <c r="A43" s="229" t="s">
        <v>53</v>
      </c>
      <c r="B43" s="229"/>
      <c r="D43" s="71">
        <v>0</v>
      </c>
      <c r="E43" s="70"/>
      <c r="F43" s="141">
        <v>-436196345</v>
      </c>
      <c r="G43" s="144"/>
      <c r="H43" s="145">
        <v>0</v>
      </c>
      <c r="I43" s="144"/>
      <c r="J43" s="141">
        <f t="shared" si="0"/>
        <v>-436196345</v>
      </c>
      <c r="K43" s="144"/>
      <c r="L43" s="145">
        <v>0</v>
      </c>
      <c r="M43" s="144"/>
      <c r="N43" s="145">
        <v>3973234639</v>
      </c>
      <c r="O43" s="144"/>
      <c r="P43" s="145">
        <v>0</v>
      </c>
      <c r="Q43" s="144"/>
      <c r="R43" s="145">
        <f t="shared" si="1"/>
        <v>3973234639</v>
      </c>
    </row>
    <row r="44" spans="1:18" ht="30" customHeight="1">
      <c r="A44" s="229" t="s">
        <v>279</v>
      </c>
      <c r="B44" s="229"/>
      <c r="D44" s="71">
        <v>0</v>
      </c>
      <c r="E44" s="70"/>
      <c r="F44" s="141">
        <v>-684963035</v>
      </c>
      <c r="G44" s="144"/>
      <c r="H44" s="145">
        <v>0</v>
      </c>
      <c r="I44" s="144"/>
      <c r="J44" s="141">
        <f t="shared" si="0"/>
        <v>-684963035</v>
      </c>
      <c r="K44" s="144"/>
      <c r="L44" s="145">
        <v>0</v>
      </c>
      <c r="M44" s="144"/>
      <c r="N44" s="141">
        <v>-684963035</v>
      </c>
      <c r="O44" s="144"/>
      <c r="P44" s="145">
        <v>0</v>
      </c>
      <c r="Q44" s="144"/>
      <c r="R44" s="141">
        <f t="shared" si="1"/>
        <v>-684963035</v>
      </c>
    </row>
    <row r="45" spans="1:18" ht="30" customHeight="1">
      <c r="A45" s="229" t="s">
        <v>294</v>
      </c>
      <c r="B45" s="229"/>
      <c r="D45" s="71"/>
      <c r="E45" s="70"/>
      <c r="F45" s="141">
        <v>-90625000</v>
      </c>
      <c r="G45" s="144"/>
      <c r="H45" s="145"/>
      <c r="I45" s="144"/>
      <c r="J45" s="145">
        <f>F45</f>
        <v>-90625000</v>
      </c>
      <c r="K45" s="144"/>
      <c r="L45" s="145"/>
      <c r="M45" s="144"/>
      <c r="N45" s="141">
        <v>-90625000</v>
      </c>
      <c r="O45" s="144"/>
      <c r="P45" s="145"/>
      <c r="Q45" s="144"/>
      <c r="R45" s="141">
        <f>N45</f>
        <v>-90625000</v>
      </c>
    </row>
    <row r="46" spans="1:18" ht="30" customHeight="1">
      <c r="A46" s="229" t="s">
        <v>293</v>
      </c>
      <c r="B46" s="229"/>
      <c r="D46" s="71"/>
      <c r="E46" s="70"/>
      <c r="F46" s="145">
        <v>119841904</v>
      </c>
      <c r="G46" s="144"/>
      <c r="H46" s="145"/>
      <c r="I46" s="144"/>
      <c r="J46" s="145">
        <f>F46</f>
        <v>119841904</v>
      </c>
      <c r="K46" s="144"/>
      <c r="L46" s="145"/>
      <c r="M46" s="144"/>
      <c r="N46" s="145">
        <v>119841904</v>
      </c>
      <c r="O46" s="144"/>
      <c r="P46" s="145"/>
      <c r="Q46" s="144"/>
      <c r="R46" s="145">
        <f>N46</f>
        <v>119841904</v>
      </c>
    </row>
    <row r="47" spans="1:18" s="30" customFormat="1" ht="30" customHeight="1">
      <c r="A47" s="266" t="s">
        <v>14</v>
      </c>
      <c r="B47" s="266"/>
      <c r="D47" s="72">
        <f>SUM(D7:D46)</f>
        <v>44283291952</v>
      </c>
      <c r="E47" s="73"/>
      <c r="F47" s="147">
        <f>SUM(F7:F46)</f>
        <v>-2802073515</v>
      </c>
      <c r="G47" s="148"/>
      <c r="H47" s="114">
        <f>SUM(H7:H46)</f>
        <v>1270447062</v>
      </c>
      <c r="I47" s="148"/>
      <c r="J47" s="114">
        <f>SUM(J7:J46)</f>
        <v>42751665499</v>
      </c>
      <c r="K47" s="148"/>
      <c r="L47" s="114">
        <f>SUM(L7:L46)</f>
        <v>406785728861</v>
      </c>
      <c r="M47" s="148"/>
      <c r="N47" s="147">
        <f>SUM(N7:N46)</f>
        <v>-4950230634</v>
      </c>
      <c r="O47" s="148"/>
      <c r="P47" s="114">
        <f>SUM(P7:P46)</f>
        <v>33779893968</v>
      </c>
      <c r="Q47" s="148"/>
      <c r="R47" s="114">
        <f>SUM(R7:R46)</f>
        <v>435615392195</v>
      </c>
    </row>
  </sheetData>
  <mergeCells count="48">
    <mergeCell ref="A41:B41"/>
    <mergeCell ref="A42:B42"/>
    <mergeCell ref="A43:B43"/>
    <mergeCell ref="A47:B47"/>
    <mergeCell ref="A36:B36"/>
    <mergeCell ref="A37:B37"/>
    <mergeCell ref="A38:B38"/>
    <mergeCell ref="A39:B39"/>
    <mergeCell ref="A40:B40"/>
    <mergeCell ref="A44:B44"/>
    <mergeCell ref="A45:B45"/>
    <mergeCell ref="A46:B46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R1"/>
    <mergeCell ref="A2:R2"/>
    <mergeCell ref="A3:R3"/>
    <mergeCell ref="D5:J5"/>
    <mergeCell ref="L5:R5"/>
    <mergeCell ref="A4:R4"/>
  </mergeCells>
  <pageMargins left="0.39" right="0.39" top="0.39" bottom="0.39" header="0" footer="0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54"/>
  <sheetViews>
    <sheetView rightToLeft="1" view="pageBreakPreview" zoomScaleNormal="100" zoomScaleSheetLayoutView="100" workbookViewId="0">
      <selection activeCell="F54" sqref="F54"/>
    </sheetView>
  </sheetViews>
  <sheetFormatPr defaultRowHeight="30" customHeight="1"/>
  <cols>
    <col min="1" max="1" width="6.5703125" style="20" bestFit="1" customWidth="1"/>
    <col min="2" max="2" width="51.28515625" style="20" customWidth="1"/>
    <col min="3" max="3" width="1.7109375" style="20" customWidth="1"/>
    <col min="4" max="4" width="19.5703125" style="115" customWidth="1"/>
    <col min="5" max="5" width="1.28515625" style="22" customWidth="1"/>
    <col min="6" max="6" width="26" style="22" customWidth="1"/>
    <col min="7" max="7" width="1.28515625" style="20" customWidth="1"/>
    <col min="8" max="8" width="0.28515625" style="20" customWidth="1"/>
    <col min="9" max="11" width="9.140625" style="20"/>
    <col min="12" max="12" width="65.28515625" style="122" customWidth="1"/>
    <col min="13" max="13" width="15.42578125" style="122" customWidth="1"/>
    <col min="14" max="16384" width="9.140625" style="20"/>
  </cols>
  <sheetData>
    <row r="1" spans="1:13" ht="30" customHeight="1">
      <c r="A1" s="222" t="s">
        <v>0</v>
      </c>
      <c r="B1" s="222"/>
      <c r="C1" s="222"/>
      <c r="D1" s="222"/>
      <c r="E1" s="222"/>
      <c r="F1" s="222"/>
      <c r="G1" s="222"/>
      <c r="L1" s="116"/>
      <c r="M1" s="116"/>
    </row>
    <row r="2" spans="1:13" ht="30" customHeight="1">
      <c r="A2" s="222" t="s">
        <v>117</v>
      </c>
      <c r="B2" s="222"/>
      <c r="C2" s="222"/>
      <c r="D2" s="222"/>
      <c r="E2" s="222"/>
      <c r="F2" s="222"/>
      <c r="G2" s="222"/>
      <c r="L2" s="117"/>
      <c r="M2" s="118"/>
    </row>
    <row r="3" spans="1:13" ht="30" customHeight="1">
      <c r="A3" s="222" t="s">
        <v>284</v>
      </c>
      <c r="B3" s="222"/>
      <c r="C3" s="222"/>
      <c r="D3" s="222"/>
      <c r="E3" s="222"/>
      <c r="F3" s="222"/>
      <c r="G3" s="222"/>
      <c r="L3" s="119"/>
      <c r="M3" s="120"/>
    </row>
    <row r="4" spans="1:13" s="21" customFormat="1" ht="30" customHeight="1">
      <c r="A4" s="221" t="s">
        <v>277</v>
      </c>
      <c r="B4" s="221"/>
      <c r="C4" s="221"/>
      <c r="D4" s="221"/>
      <c r="E4" s="221"/>
      <c r="F4" s="221"/>
      <c r="G4" s="24"/>
      <c r="L4" s="119"/>
      <c r="M4" s="120"/>
    </row>
    <row r="5" spans="1:13" ht="34.5" customHeight="1">
      <c r="D5" s="112" t="s">
        <v>128</v>
      </c>
      <c r="F5" s="6" t="str">
        <f>'درآمد سرمایه گذاری در سهام'!$N$5</f>
        <v>از ابتدای سال مالی تا پایان ماه</v>
      </c>
      <c r="G5" s="26"/>
      <c r="L5" s="119"/>
      <c r="M5" s="120"/>
    </row>
    <row r="6" spans="1:13" ht="29.25" customHeight="1">
      <c r="A6" s="223" t="s">
        <v>183</v>
      </c>
      <c r="B6" s="223"/>
      <c r="D6" s="113" t="s">
        <v>229</v>
      </c>
      <c r="F6" s="7" t="s">
        <v>282</v>
      </c>
      <c r="L6" s="119"/>
      <c r="M6" s="120"/>
    </row>
    <row r="7" spans="1:13" ht="30" customHeight="1">
      <c r="A7" s="228" t="s">
        <v>95</v>
      </c>
      <c r="B7" s="228"/>
      <c r="D7" s="123">
        <v>64372</v>
      </c>
      <c r="E7" s="124"/>
      <c r="F7" s="125">
        <v>1109911</v>
      </c>
      <c r="G7" s="50"/>
      <c r="L7" s="119"/>
      <c r="M7" s="120"/>
    </row>
    <row r="8" spans="1:13" ht="30" customHeight="1">
      <c r="A8" s="229" t="s">
        <v>96</v>
      </c>
      <c r="B8" s="229"/>
      <c r="D8" s="126">
        <v>33959</v>
      </c>
      <c r="E8" s="124"/>
      <c r="F8" s="59">
        <v>645222</v>
      </c>
      <c r="G8" s="50"/>
      <c r="L8" s="119"/>
      <c r="M8" s="120"/>
    </row>
    <row r="9" spans="1:13" ht="30" customHeight="1">
      <c r="A9" s="229" t="s">
        <v>184</v>
      </c>
      <c r="B9" s="229"/>
      <c r="D9" s="126">
        <v>0</v>
      </c>
      <c r="E9" s="124"/>
      <c r="F9" s="59">
        <v>3805150699</v>
      </c>
      <c r="G9" s="50"/>
      <c r="L9" s="119"/>
      <c r="M9" s="120"/>
    </row>
    <row r="10" spans="1:13" ht="30" customHeight="1">
      <c r="A10" s="229" t="s">
        <v>98</v>
      </c>
      <c r="B10" s="229"/>
      <c r="D10" s="126">
        <v>0</v>
      </c>
      <c r="E10" s="124"/>
      <c r="F10" s="59">
        <v>304868</v>
      </c>
      <c r="G10" s="50"/>
      <c r="L10" s="119"/>
      <c r="M10" s="120"/>
    </row>
    <row r="11" spans="1:13" ht="30" customHeight="1">
      <c r="A11" s="229" t="s">
        <v>99</v>
      </c>
      <c r="B11" s="229"/>
      <c r="D11" s="126">
        <v>5537</v>
      </c>
      <c r="E11" s="124"/>
      <c r="F11" s="59">
        <v>15954507</v>
      </c>
      <c r="G11" s="50"/>
      <c r="L11" s="119"/>
      <c r="M11" s="120"/>
    </row>
    <row r="12" spans="1:13" ht="30" customHeight="1">
      <c r="A12" s="229" t="s">
        <v>185</v>
      </c>
      <c r="B12" s="229"/>
      <c r="D12" s="126">
        <v>0</v>
      </c>
      <c r="E12" s="124"/>
      <c r="F12" s="59">
        <v>341953979</v>
      </c>
      <c r="G12" s="50"/>
      <c r="L12" s="119"/>
      <c r="M12" s="120"/>
    </row>
    <row r="13" spans="1:13" ht="30" customHeight="1">
      <c r="A13" s="229" t="s">
        <v>100</v>
      </c>
      <c r="B13" s="229"/>
      <c r="D13" s="126">
        <v>52645</v>
      </c>
      <c r="E13" s="124"/>
      <c r="F13" s="59">
        <v>283304</v>
      </c>
      <c r="G13" s="50"/>
      <c r="L13" s="119"/>
      <c r="M13" s="120"/>
    </row>
    <row r="14" spans="1:13" ht="30" customHeight="1">
      <c r="A14" s="229" t="s">
        <v>101</v>
      </c>
      <c r="B14" s="229"/>
      <c r="D14" s="126">
        <v>38744</v>
      </c>
      <c r="E14" s="124"/>
      <c r="F14" s="59">
        <v>301602</v>
      </c>
      <c r="G14" s="50"/>
      <c r="L14" s="119"/>
      <c r="M14" s="120"/>
    </row>
    <row r="15" spans="1:13" ht="30" customHeight="1">
      <c r="A15" s="229" t="s">
        <v>186</v>
      </c>
      <c r="B15" s="229"/>
      <c r="D15" s="126">
        <v>0</v>
      </c>
      <c r="E15" s="124"/>
      <c r="F15" s="59">
        <v>3561643844</v>
      </c>
      <c r="G15" s="50"/>
      <c r="L15" s="119"/>
      <c r="M15" s="120"/>
    </row>
    <row r="16" spans="1:13" ht="30" customHeight="1">
      <c r="A16" s="229" t="s">
        <v>102</v>
      </c>
      <c r="B16" s="229"/>
      <c r="D16" s="126">
        <v>2603</v>
      </c>
      <c r="E16" s="124"/>
      <c r="F16" s="59">
        <v>19942</v>
      </c>
      <c r="G16" s="50"/>
      <c r="L16" s="119"/>
      <c r="M16" s="120"/>
    </row>
    <row r="17" spans="1:13" ht="30" customHeight="1">
      <c r="A17" s="229" t="s">
        <v>187</v>
      </c>
      <c r="B17" s="229"/>
      <c r="D17" s="126">
        <v>0</v>
      </c>
      <c r="E17" s="124"/>
      <c r="F17" s="59">
        <v>966575330</v>
      </c>
      <c r="G17" s="50"/>
      <c r="L17" s="119"/>
      <c r="M17" s="120"/>
    </row>
    <row r="18" spans="1:13" ht="30" customHeight="1">
      <c r="A18" s="229" t="s">
        <v>188</v>
      </c>
      <c r="B18" s="229"/>
      <c r="D18" s="126">
        <v>0</v>
      </c>
      <c r="E18" s="124"/>
      <c r="F18" s="59">
        <v>13497252634</v>
      </c>
      <c r="G18" s="50"/>
      <c r="L18" s="119"/>
      <c r="M18" s="120"/>
    </row>
    <row r="19" spans="1:13" ht="30" customHeight="1">
      <c r="A19" s="229" t="s">
        <v>189</v>
      </c>
      <c r="B19" s="229"/>
      <c r="D19" s="126">
        <v>0</v>
      </c>
      <c r="E19" s="124"/>
      <c r="F19" s="59">
        <v>10761917822</v>
      </c>
      <c r="G19" s="50"/>
      <c r="L19" s="119"/>
      <c r="M19" s="120"/>
    </row>
    <row r="20" spans="1:13" ht="30" customHeight="1">
      <c r="A20" s="229" t="s">
        <v>103</v>
      </c>
      <c r="B20" s="229"/>
      <c r="D20" s="126">
        <v>82836</v>
      </c>
      <c r="E20" s="124"/>
      <c r="F20" s="59">
        <v>737784</v>
      </c>
      <c r="G20" s="50"/>
      <c r="L20" s="119"/>
      <c r="M20" s="120"/>
    </row>
    <row r="21" spans="1:13" ht="30" customHeight="1">
      <c r="A21" s="229" t="s">
        <v>190</v>
      </c>
      <c r="B21" s="229"/>
      <c r="D21" s="126">
        <v>0</v>
      </c>
      <c r="E21" s="124"/>
      <c r="F21" s="59">
        <v>61027397</v>
      </c>
      <c r="G21" s="50"/>
      <c r="L21" s="119"/>
      <c r="M21" s="120"/>
    </row>
    <row r="22" spans="1:13" ht="30" customHeight="1">
      <c r="A22" s="229" t="s">
        <v>280</v>
      </c>
      <c r="B22" s="229"/>
      <c r="D22" s="126">
        <v>0</v>
      </c>
      <c r="E22" s="124"/>
      <c r="F22" s="59">
        <v>3448</v>
      </c>
      <c r="G22" s="50"/>
      <c r="L22" s="119"/>
      <c r="M22" s="120"/>
    </row>
    <row r="23" spans="1:13" ht="30" customHeight="1">
      <c r="A23" s="229" t="s">
        <v>191</v>
      </c>
      <c r="B23" s="229"/>
      <c r="D23" s="126">
        <v>0</v>
      </c>
      <c r="E23" s="124"/>
      <c r="F23" s="59">
        <v>1898301376</v>
      </c>
      <c r="G23" s="50"/>
      <c r="L23" s="119"/>
      <c r="M23" s="120"/>
    </row>
    <row r="24" spans="1:13" ht="30" customHeight="1">
      <c r="A24" s="229" t="s">
        <v>192</v>
      </c>
      <c r="B24" s="229"/>
      <c r="D24" s="126">
        <v>0</v>
      </c>
      <c r="E24" s="124"/>
      <c r="F24" s="59">
        <v>3682191768</v>
      </c>
      <c r="G24" s="50"/>
      <c r="L24" s="119"/>
      <c r="M24" s="120"/>
    </row>
    <row r="25" spans="1:13" ht="30" customHeight="1">
      <c r="A25" s="229" t="s">
        <v>193</v>
      </c>
      <c r="B25" s="229"/>
      <c r="D25" s="126">
        <v>0</v>
      </c>
      <c r="E25" s="124"/>
      <c r="F25" s="59">
        <v>16297627078</v>
      </c>
      <c r="G25" s="50"/>
      <c r="L25" s="121"/>
      <c r="M25" s="120"/>
    </row>
    <row r="26" spans="1:13" ht="30" customHeight="1">
      <c r="A26" s="229" t="s">
        <v>194</v>
      </c>
      <c r="B26" s="229"/>
      <c r="D26" s="126">
        <v>0</v>
      </c>
      <c r="E26" s="124"/>
      <c r="F26" s="59">
        <v>5558047582</v>
      </c>
      <c r="G26" s="50"/>
    </row>
    <row r="27" spans="1:13" ht="30" customHeight="1">
      <c r="A27" s="229" t="s">
        <v>104</v>
      </c>
      <c r="B27" s="229"/>
      <c r="D27" s="126">
        <v>15621</v>
      </c>
      <c r="E27" s="124"/>
      <c r="F27" s="59">
        <v>5011127945</v>
      </c>
      <c r="G27" s="50"/>
    </row>
    <row r="28" spans="1:13" ht="30" customHeight="1">
      <c r="A28" s="229" t="s">
        <v>195</v>
      </c>
      <c r="B28" s="229"/>
      <c r="D28" s="126">
        <v>0</v>
      </c>
      <c r="E28" s="124"/>
      <c r="F28" s="59">
        <v>3181846013</v>
      </c>
      <c r="G28" s="50"/>
    </row>
    <row r="29" spans="1:13" ht="30" customHeight="1">
      <c r="A29" s="229" t="s">
        <v>196</v>
      </c>
      <c r="B29" s="229"/>
      <c r="D29" s="126">
        <v>0</v>
      </c>
      <c r="E29" s="124"/>
      <c r="F29" s="59">
        <v>10082189729</v>
      </c>
      <c r="G29" s="50"/>
    </row>
    <row r="30" spans="1:13" ht="30" customHeight="1">
      <c r="A30" s="229" t="s">
        <v>197</v>
      </c>
      <c r="B30" s="229"/>
      <c r="D30" s="126">
        <v>0</v>
      </c>
      <c r="E30" s="124"/>
      <c r="F30" s="59">
        <v>37275548167</v>
      </c>
      <c r="G30" s="50"/>
    </row>
    <row r="31" spans="1:13" ht="30" customHeight="1">
      <c r="A31" s="229" t="s">
        <v>105</v>
      </c>
      <c r="B31" s="229"/>
      <c r="D31" s="126">
        <v>32192</v>
      </c>
      <c r="E31" s="124"/>
      <c r="F31" s="59">
        <v>254281</v>
      </c>
      <c r="G31" s="50"/>
    </row>
    <row r="32" spans="1:13" ht="30" customHeight="1">
      <c r="A32" s="229" t="s">
        <v>198</v>
      </c>
      <c r="B32" s="229"/>
      <c r="D32" s="126">
        <v>0</v>
      </c>
      <c r="E32" s="124"/>
      <c r="F32" s="59">
        <v>14322821919</v>
      </c>
      <c r="G32" s="50"/>
    </row>
    <row r="33" spans="1:7" ht="30" customHeight="1">
      <c r="A33" s="229" t="s">
        <v>199</v>
      </c>
      <c r="B33" s="229"/>
      <c r="D33" s="126">
        <v>0</v>
      </c>
      <c r="E33" s="124"/>
      <c r="F33" s="59">
        <v>10873355123</v>
      </c>
      <c r="G33" s="50"/>
    </row>
    <row r="34" spans="1:7" ht="30" customHeight="1">
      <c r="A34" s="229" t="s">
        <v>200</v>
      </c>
      <c r="B34" s="229"/>
      <c r="D34" s="126">
        <v>0</v>
      </c>
      <c r="E34" s="124"/>
      <c r="F34" s="59">
        <v>28766879819</v>
      </c>
      <c r="G34" s="50"/>
    </row>
    <row r="35" spans="1:7" ht="30" customHeight="1">
      <c r="A35" s="229" t="s">
        <v>201</v>
      </c>
      <c r="B35" s="229"/>
      <c r="D35" s="126">
        <v>0</v>
      </c>
      <c r="E35" s="124"/>
      <c r="F35" s="59">
        <v>11332520552</v>
      </c>
      <c r="G35" s="50"/>
    </row>
    <row r="36" spans="1:7" ht="30" customHeight="1">
      <c r="A36" s="229" t="s">
        <v>202</v>
      </c>
      <c r="B36" s="229"/>
      <c r="D36" s="126">
        <v>0</v>
      </c>
      <c r="E36" s="124"/>
      <c r="F36" s="59">
        <v>7338074123</v>
      </c>
      <c r="G36" s="50"/>
    </row>
    <row r="37" spans="1:7" ht="30" customHeight="1">
      <c r="A37" s="229" t="s">
        <v>203</v>
      </c>
      <c r="B37" s="229"/>
      <c r="D37" s="126">
        <v>0</v>
      </c>
      <c r="E37" s="127"/>
      <c r="F37" s="59">
        <v>7792096256</v>
      </c>
      <c r="G37" s="50"/>
    </row>
    <row r="38" spans="1:7" ht="30" customHeight="1">
      <c r="A38" s="229" t="s">
        <v>204</v>
      </c>
      <c r="B38" s="229"/>
      <c r="D38" s="126">
        <v>0</v>
      </c>
      <c r="E38" s="128"/>
      <c r="F38" s="59">
        <v>11691530012</v>
      </c>
    </row>
    <row r="39" spans="1:7" ht="30" customHeight="1">
      <c r="A39" s="229" t="s">
        <v>106</v>
      </c>
      <c r="B39" s="229"/>
      <c r="D39" s="126">
        <v>6915189935</v>
      </c>
      <c r="E39" s="128"/>
      <c r="F39" s="59">
        <v>45077763665</v>
      </c>
    </row>
    <row r="40" spans="1:7" ht="30" customHeight="1">
      <c r="A40" s="229" t="s">
        <v>107</v>
      </c>
      <c r="B40" s="229"/>
      <c r="D40" s="126">
        <v>1180799160</v>
      </c>
      <c r="E40" s="128"/>
      <c r="F40" s="59">
        <v>16888129300</v>
      </c>
    </row>
    <row r="41" spans="1:7" ht="30" customHeight="1">
      <c r="A41" s="229" t="s">
        <v>108</v>
      </c>
      <c r="B41" s="229"/>
      <c r="D41" s="126">
        <v>0</v>
      </c>
      <c r="E41" s="128"/>
      <c r="F41" s="59">
        <v>15688524555</v>
      </c>
    </row>
    <row r="42" spans="1:7" ht="30" customHeight="1">
      <c r="A42" s="229" t="s">
        <v>109</v>
      </c>
      <c r="B42" s="229"/>
      <c r="D42" s="126">
        <v>45938</v>
      </c>
      <c r="E42" s="128"/>
      <c r="F42" s="59">
        <v>126235</v>
      </c>
    </row>
    <row r="43" spans="1:7" ht="30" customHeight="1">
      <c r="A43" s="229" t="s">
        <v>110</v>
      </c>
      <c r="B43" s="229"/>
      <c r="D43" s="126">
        <v>4813416645</v>
      </c>
      <c r="E43" s="128"/>
      <c r="F43" s="59">
        <v>33104954227</v>
      </c>
    </row>
    <row r="44" spans="1:7" ht="30" customHeight="1">
      <c r="A44" s="229" t="s">
        <v>111</v>
      </c>
      <c r="B44" s="229"/>
      <c r="D44" s="126">
        <v>3276434414</v>
      </c>
      <c r="E44" s="128"/>
      <c r="F44" s="59">
        <v>18073729455</v>
      </c>
    </row>
    <row r="45" spans="1:7" ht="30" customHeight="1">
      <c r="A45" s="229" t="s">
        <v>281</v>
      </c>
      <c r="B45" s="229"/>
      <c r="D45" s="126">
        <v>4110655710</v>
      </c>
      <c r="E45" s="128"/>
      <c r="F45" s="59">
        <v>17469888350</v>
      </c>
    </row>
    <row r="46" spans="1:7" ht="30" customHeight="1">
      <c r="A46" s="229" t="s">
        <v>113</v>
      </c>
      <c r="B46" s="229"/>
      <c r="D46" s="126">
        <v>21584</v>
      </c>
      <c r="E46" s="128"/>
      <c r="F46" s="59">
        <v>28533</v>
      </c>
    </row>
    <row r="47" spans="1:7" ht="30" customHeight="1">
      <c r="A47" s="229" t="s">
        <v>114</v>
      </c>
      <c r="B47" s="229"/>
      <c r="D47" s="126">
        <v>356285663</v>
      </c>
      <c r="E47" s="128"/>
      <c r="F47" s="59">
        <v>18517053671</v>
      </c>
    </row>
    <row r="48" spans="1:7" ht="30" customHeight="1">
      <c r="A48" s="229" t="s">
        <v>115</v>
      </c>
      <c r="B48" s="229"/>
      <c r="D48" s="126">
        <v>2405942596</v>
      </c>
      <c r="E48" s="128"/>
      <c r="F48" s="59">
        <v>9579439784</v>
      </c>
    </row>
    <row r="49" spans="1:13" ht="30" customHeight="1">
      <c r="A49" s="229" t="s">
        <v>116</v>
      </c>
      <c r="B49" s="229"/>
      <c r="D49" s="126">
        <v>11413114736</v>
      </c>
      <c r="E49" s="128"/>
      <c r="F49" s="59">
        <v>32772404328</v>
      </c>
    </row>
    <row r="50" spans="1:13" ht="30" customHeight="1">
      <c r="A50" s="229" t="s">
        <v>298</v>
      </c>
      <c r="B50" s="229"/>
      <c r="D50" s="126">
        <v>1209016380</v>
      </c>
      <c r="E50" s="128"/>
      <c r="F50" s="59">
        <v>1209016380</v>
      </c>
    </row>
    <row r="51" spans="1:13" ht="30" customHeight="1">
      <c r="A51" s="229" t="s">
        <v>287</v>
      </c>
      <c r="B51" s="229"/>
      <c r="D51" s="126">
        <v>1209016380</v>
      </c>
      <c r="E51" s="128"/>
      <c r="F51" s="59">
        <v>1209016380</v>
      </c>
    </row>
    <row r="52" spans="1:13" ht="30" customHeight="1">
      <c r="A52" s="229" t="s">
        <v>299</v>
      </c>
      <c r="B52" s="229"/>
      <c r="D52" s="126">
        <v>1128415288</v>
      </c>
      <c r="E52" s="128"/>
      <c r="F52" s="59">
        <v>1128415288</v>
      </c>
    </row>
    <row r="53" spans="1:13" s="35" customFormat="1" ht="30" customHeight="1" thickBot="1">
      <c r="A53" s="267" t="s">
        <v>14</v>
      </c>
      <c r="B53" s="267"/>
      <c r="D53" s="114">
        <f>SUM(D7:D52)</f>
        <v>38018682938</v>
      </c>
      <c r="E53" s="73"/>
      <c r="F53" s="72">
        <f>SUM(F7:F52)</f>
        <v>418837784187</v>
      </c>
      <c r="L53" s="122"/>
      <c r="M53" s="122"/>
    </row>
    <row r="54" spans="1:13" ht="30" customHeight="1" thickTop="1"/>
  </sheetData>
  <mergeCells count="52">
    <mergeCell ref="A48:B48"/>
    <mergeCell ref="A49:B49"/>
    <mergeCell ref="A53:B53"/>
    <mergeCell ref="A43:B43"/>
    <mergeCell ref="A44:B44"/>
    <mergeCell ref="A45:B45"/>
    <mergeCell ref="A46:B46"/>
    <mergeCell ref="A47:B47"/>
    <mergeCell ref="A50:B50"/>
    <mergeCell ref="A51:B51"/>
    <mergeCell ref="A52:B52"/>
    <mergeCell ref="A38:B38"/>
    <mergeCell ref="A39:B39"/>
    <mergeCell ref="A40:B40"/>
    <mergeCell ref="A41:B41"/>
    <mergeCell ref="A42:B42"/>
    <mergeCell ref="A37:B37"/>
    <mergeCell ref="A31:B31"/>
    <mergeCell ref="A32:B32"/>
    <mergeCell ref="A33:B33"/>
    <mergeCell ref="A34:B34"/>
    <mergeCell ref="A35:B35"/>
    <mergeCell ref="A27:B27"/>
    <mergeCell ref="A28:B28"/>
    <mergeCell ref="A29:B29"/>
    <mergeCell ref="A30:B30"/>
    <mergeCell ref="A36:B36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G1"/>
    <mergeCell ref="A2:G2"/>
    <mergeCell ref="A3:G3"/>
    <mergeCell ref="A4:F4"/>
    <mergeCell ref="A6:B6"/>
  </mergeCells>
  <pageMargins left="0.39" right="0.39" top="0.39" bottom="0.39" header="0" footer="0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view="pageBreakPreview" zoomScaleNormal="100" zoomScaleSheetLayoutView="100" workbookViewId="0">
      <selection activeCell="A5" sqref="A5"/>
    </sheetView>
  </sheetViews>
  <sheetFormatPr defaultRowHeight="30" customHeight="1"/>
  <cols>
    <col min="1" max="1" width="5.140625" style="20" customWidth="1"/>
    <col min="2" max="2" width="41.5703125" style="20" customWidth="1"/>
    <col min="3" max="3" width="1.28515625" style="20" customWidth="1"/>
    <col min="4" max="4" width="19.42578125" style="99" customWidth="1"/>
    <col min="5" max="5" width="1.28515625" style="99" customWidth="1"/>
    <col min="6" max="6" width="24.7109375" style="99" customWidth="1"/>
    <col min="7" max="7" width="0.28515625" style="20" customWidth="1"/>
    <col min="8" max="16384" width="9.140625" style="20"/>
  </cols>
  <sheetData>
    <row r="1" spans="1:6" ht="30" customHeight="1">
      <c r="A1" s="222" t="s">
        <v>0</v>
      </c>
      <c r="B1" s="222"/>
      <c r="C1" s="222"/>
      <c r="D1" s="222"/>
      <c r="E1" s="222"/>
      <c r="F1" s="222"/>
    </row>
    <row r="2" spans="1:6" ht="30" customHeight="1">
      <c r="A2" s="222" t="s">
        <v>117</v>
      </c>
      <c r="B2" s="222"/>
      <c r="C2" s="222"/>
      <c r="D2" s="222"/>
      <c r="E2" s="222"/>
      <c r="F2" s="222"/>
    </row>
    <row r="3" spans="1:6" ht="30" customHeight="1">
      <c r="A3" s="222" t="s">
        <v>284</v>
      </c>
      <c r="B3" s="222"/>
      <c r="C3" s="222"/>
      <c r="D3" s="222"/>
      <c r="E3" s="222"/>
      <c r="F3" s="222"/>
    </row>
    <row r="4" spans="1:6" s="21" customFormat="1" ht="30" customHeight="1">
      <c r="A4" s="221" t="s">
        <v>278</v>
      </c>
      <c r="B4" s="221"/>
      <c r="C4" s="221"/>
      <c r="D4" s="221"/>
      <c r="E4" s="221"/>
      <c r="F4" s="221"/>
    </row>
    <row r="5" spans="1:6" ht="30" customHeight="1">
      <c r="D5" s="112" t="s">
        <v>128</v>
      </c>
      <c r="F5" s="161" t="str">
        <f>'درآمد سرمایه گذاری در سهام'!$N$5</f>
        <v>از ابتدای سال مالی تا پایان ماه</v>
      </c>
    </row>
    <row r="6" spans="1:6" ht="30" customHeight="1">
      <c r="A6" s="223" t="s">
        <v>127</v>
      </c>
      <c r="B6" s="223"/>
      <c r="D6" s="150" t="s">
        <v>92</v>
      </c>
      <c r="F6" s="150" t="s">
        <v>92</v>
      </c>
    </row>
    <row r="7" spans="1:6" ht="30" customHeight="1">
      <c r="A7" s="228" t="s">
        <v>127</v>
      </c>
      <c r="B7" s="228"/>
      <c r="D7" s="74">
        <v>0</v>
      </c>
      <c r="E7" s="142"/>
      <c r="F7" s="74">
        <v>27250</v>
      </c>
    </row>
    <row r="8" spans="1:6" ht="30" customHeight="1">
      <c r="A8" s="229" t="s">
        <v>205</v>
      </c>
      <c r="B8" s="229"/>
      <c r="D8" s="74">
        <v>0</v>
      </c>
      <c r="E8" s="142"/>
      <c r="F8" s="74">
        <v>421522839</v>
      </c>
    </row>
    <row r="9" spans="1:6" ht="30" customHeight="1">
      <c r="A9" s="229" t="s">
        <v>206</v>
      </c>
      <c r="B9" s="229"/>
      <c r="D9" s="162">
        <v>5220066</v>
      </c>
      <c r="E9" s="142"/>
      <c r="F9" s="162">
        <v>8909227</v>
      </c>
    </row>
    <row r="10" spans="1:6" ht="30" customHeight="1" thickBot="1">
      <c r="A10" s="222" t="s">
        <v>14</v>
      </c>
      <c r="B10" s="222"/>
      <c r="D10" s="182">
        <f>SUM(D7:D9)</f>
        <v>5220066</v>
      </c>
      <c r="E10" s="183"/>
      <c r="F10" s="182">
        <f>SUM(F7:F9)</f>
        <v>430459316</v>
      </c>
    </row>
    <row r="11" spans="1:6" ht="30" customHeight="1" thickTop="1"/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Z22"/>
  <sheetViews>
    <sheetView rightToLeft="1" view="pageBreakPreview" zoomScaleNormal="100" zoomScaleSheetLayoutView="100" workbookViewId="0">
      <selection activeCell="S13" sqref="S13"/>
    </sheetView>
  </sheetViews>
  <sheetFormatPr defaultRowHeight="30" customHeight="1"/>
  <cols>
    <col min="1" max="1" width="39" style="20" customWidth="1"/>
    <col min="2" max="2" width="0.7109375" style="20" customWidth="1"/>
    <col min="3" max="3" width="16.85546875" style="20" customWidth="1"/>
    <col min="4" max="4" width="0.5703125" style="20" customWidth="1"/>
    <col min="5" max="5" width="20.7109375" style="20" customWidth="1"/>
    <col min="6" max="6" width="0.5703125" style="20" customWidth="1"/>
    <col min="7" max="7" width="15.5703125" style="20" customWidth="1"/>
    <col min="8" max="8" width="0.5703125" style="20" customWidth="1"/>
    <col min="9" max="9" width="15" style="20" bestFit="1" customWidth="1"/>
    <col min="10" max="10" width="0.7109375" style="20" customWidth="1"/>
    <col min="11" max="11" width="13.42578125" style="20" bestFit="1" customWidth="1"/>
    <col min="12" max="12" width="0.7109375" style="20" customWidth="1"/>
    <col min="13" max="13" width="15.5703125" style="20" customWidth="1"/>
    <col min="14" max="14" width="0.5703125" style="20" customWidth="1"/>
    <col min="15" max="15" width="15" style="20" bestFit="1" customWidth="1"/>
    <col min="16" max="16" width="0.5703125" style="20" customWidth="1"/>
    <col min="17" max="17" width="13.7109375" style="20" bestFit="1" customWidth="1"/>
    <col min="18" max="18" width="0.7109375" style="20" customWidth="1"/>
    <col min="19" max="19" width="15.5703125" style="20" customWidth="1"/>
    <col min="20" max="20" width="0.28515625" style="20" customWidth="1"/>
    <col min="21" max="21" width="9.140625" style="20"/>
    <col min="22" max="23" width="11" style="20" customWidth="1"/>
    <col min="24" max="24" width="13.42578125" style="20" customWidth="1"/>
    <col min="25" max="25" width="15.85546875" style="20" customWidth="1"/>
    <col min="26" max="26" width="13.28515625" style="20" customWidth="1"/>
    <col min="27" max="16384" width="9.140625" style="20"/>
  </cols>
  <sheetData>
    <row r="1" spans="1:26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</row>
    <row r="2" spans="1:26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6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</row>
    <row r="4" spans="1:26" s="21" customFormat="1" ht="30" customHeight="1">
      <c r="A4" s="221" t="s">
        <v>130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U4" s="62"/>
      <c r="V4" s="62"/>
      <c r="W4" s="62"/>
      <c r="X4" s="62"/>
      <c r="Y4" s="62"/>
      <c r="Z4" s="62"/>
    </row>
    <row r="5" spans="1:26" ht="19.5" customHeight="1">
      <c r="A5" s="223" t="s">
        <v>16</v>
      </c>
      <c r="C5" s="223" t="s">
        <v>207</v>
      </c>
      <c r="D5" s="223"/>
      <c r="E5" s="223"/>
      <c r="F5" s="223"/>
      <c r="G5" s="223"/>
      <c r="I5" s="223" t="s">
        <v>128</v>
      </c>
      <c r="J5" s="223"/>
      <c r="K5" s="223"/>
      <c r="L5" s="223"/>
      <c r="M5" s="223"/>
      <c r="O5" s="223" t="str">
        <f>'درآمد سرمایه گذاری در سهام'!$N$5</f>
        <v>از ابتدای سال مالی تا پایان ماه</v>
      </c>
      <c r="P5" s="223"/>
      <c r="Q5" s="223"/>
      <c r="R5" s="223"/>
      <c r="S5" s="223"/>
      <c r="U5" s="63"/>
      <c r="V5" s="63"/>
      <c r="W5" s="65"/>
      <c r="X5" s="63"/>
      <c r="Y5" s="65"/>
      <c r="Z5" s="63"/>
    </row>
    <row r="6" spans="1:26" ht="38.25" customHeight="1">
      <c r="A6" s="223"/>
      <c r="C6" s="7" t="s">
        <v>208</v>
      </c>
      <c r="D6" s="37"/>
      <c r="E6" s="7" t="s">
        <v>209</v>
      </c>
      <c r="F6" s="37"/>
      <c r="G6" s="7" t="s">
        <v>210</v>
      </c>
      <c r="I6" s="7" t="s">
        <v>211</v>
      </c>
      <c r="J6" s="37"/>
      <c r="K6" s="7" t="s">
        <v>212</v>
      </c>
      <c r="L6" s="37"/>
      <c r="M6" s="7" t="s">
        <v>213</v>
      </c>
      <c r="O6" s="7" t="s">
        <v>211</v>
      </c>
      <c r="P6" s="37"/>
      <c r="Q6" s="7" t="s">
        <v>212</v>
      </c>
      <c r="R6" s="37"/>
      <c r="S6" s="7" t="s">
        <v>213</v>
      </c>
      <c r="U6" s="63"/>
      <c r="V6" s="63"/>
      <c r="W6" s="65"/>
      <c r="X6" s="63"/>
      <c r="Y6" s="65"/>
      <c r="Z6" s="63"/>
    </row>
    <row r="7" spans="1:26" ht="30" customHeight="1">
      <c r="A7" s="3" t="s">
        <v>142</v>
      </c>
      <c r="C7" s="12" t="s">
        <v>214</v>
      </c>
      <c r="D7" s="22"/>
      <c r="E7" s="8">
        <v>1362427</v>
      </c>
      <c r="F7" s="22"/>
      <c r="G7" s="8">
        <v>70</v>
      </c>
      <c r="H7" s="22"/>
      <c r="I7" s="8">
        <v>0</v>
      </c>
      <c r="J7" s="22"/>
      <c r="K7" s="8">
        <v>0</v>
      </c>
      <c r="L7" s="22"/>
      <c r="M7" s="8">
        <v>0</v>
      </c>
      <c r="N7" s="22"/>
      <c r="O7" s="8">
        <v>95369890</v>
      </c>
      <c r="P7" s="22"/>
      <c r="Q7" s="8">
        <v>0</v>
      </c>
      <c r="R7" s="22"/>
      <c r="S7" s="8">
        <f>O7-Q7</f>
        <v>95369890</v>
      </c>
      <c r="U7" s="63"/>
      <c r="V7" s="63"/>
      <c r="W7" s="65"/>
      <c r="X7" s="63"/>
      <c r="Y7" s="65"/>
      <c r="Z7" s="65"/>
    </row>
    <row r="8" spans="1:26" ht="30" customHeight="1">
      <c r="A8" s="5" t="s">
        <v>141</v>
      </c>
      <c r="C8" s="16" t="s">
        <v>215</v>
      </c>
      <c r="D8" s="22"/>
      <c r="E8" s="9">
        <v>406862</v>
      </c>
      <c r="F8" s="22"/>
      <c r="G8" s="9">
        <v>500</v>
      </c>
      <c r="H8" s="22"/>
      <c r="I8" s="9">
        <v>0</v>
      </c>
      <c r="J8" s="22"/>
      <c r="K8" s="9">
        <v>0</v>
      </c>
      <c r="L8" s="22"/>
      <c r="M8" s="9">
        <v>0</v>
      </c>
      <c r="N8" s="22"/>
      <c r="O8" s="9">
        <v>203431000</v>
      </c>
      <c r="P8" s="22"/>
      <c r="Q8" s="9">
        <v>0</v>
      </c>
      <c r="R8" s="22"/>
      <c r="S8" s="9">
        <f t="shared" ref="S8:S10" si="0">O8-Q8</f>
        <v>203431000</v>
      </c>
      <c r="U8" s="63"/>
      <c r="V8" s="63"/>
      <c r="W8" s="63"/>
      <c r="X8" s="65"/>
      <c r="Y8" s="65"/>
      <c r="Z8" s="63"/>
    </row>
    <row r="9" spans="1:26" ht="30" customHeight="1">
      <c r="A9" s="5" t="s">
        <v>12</v>
      </c>
      <c r="C9" s="16" t="s">
        <v>216</v>
      </c>
      <c r="D9" s="22"/>
      <c r="E9" s="9">
        <v>1674447</v>
      </c>
      <c r="F9" s="22"/>
      <c r="G9" s="9">
        <v>110</v>
      </c>
      <c r="H9" s="22"/>
      <c r="I9" s="9">
        <v>0</v>
      </c>
      <c r="J9" s="22"/>
      <c r="K9" s="9">
        <v>0</v>
      </c>
      <c r="L9" s="22"/>
      <c r="M9" s="9">
        <v>0</v>
      </c>
      <c r="N9" s="22"/>
      <c r="O9" s="9">
        <v>184189170</v>
      </c>
      <c r="P9" s="22"/>
      <c r="Q9" s="9">
        <v>16952735</v>
      </c>
      <c r="R9" s="22"/>
      <c r="S9" s="9">
        <f t="shared" si="0"/>
        <v>167236435</v>
      </c>
      <c r="U9" s="63"/>
      <c r="V9" s="63"/>
      <c r="W9" s="65"/>
      <c r="X9" s="63"/>
      <c r="Y9" s="65"/>
      <c r="Z9" s="65"/>
    </row>
    <row r="10" spans="1:26" ht="30" customHeight="1">
      <c r="A10" s="5" t="s">
        <v>134</v>
      </c>
      <c r="C10" s="16" t="s">
        <v>217</v>
      </c>
      <c r="D10" s="22"/>
      <c r="E10" s="9">
        <v>140</v>
      </c>
      <c r="F10" s="22"/>
      <c r="G10" s="9">
        <v>3000</v>
      </c>
      <c r="H10" s="22"/>
      <c r="I10" s="9">
        <v>0</v>
      </c>
      <c r="J10" s="22"/>
      <c r="K10" s="9">
        <v>0</v>
      </c>
      <c r="L10" s="22"/>
      <c r="M10" s="9">
        <v>0</v>
      </c>
      <c r="N10" s="22"/>
      <c r="O10" s="9">
        <v>420000</v>
      </c>
      <c r="P10" s="22"/>
      <c r="Q10" s="9">
        <v>0</v>
      </c>
      <c r="R10" s="22"/>
      <c r="S10" s="9">
        <f t="shared" si="0"/>
        <v>420000</v>
      </c>
      <c r="U10" s="63"/>
      <c r="V10" s="60"/>
      <c r="W10" s="60"/>
      <c r="X10" s="65"/>
      <c r="Y10" s="65"/>
      <c r="Z10" s="65"/>
    </row>
    <row r="11" spans="1:26" ht="30" customHeight="1">
      <c r="A11" s="5" t="s">
        <v>13</v>
      </c>
      <c r="C11" s="16" t="s">
        <v>256</v>
      </c>
      <c r="D11" s="22"/>
      <c r="E11" s="9">
        <v>58593750</v>
      </c>
      <c r="F11" s="22"/>
      <c r="G11" s="9">
        <v>200</v>
      </c>
      <c r="H11" s="22"/>
      <c r="I11" s="9"/>
      <c r="J11" s="22"/>
      <c r="K11" s="9"/>
      <c r="L11" s="22"/>
      <c r="M11" s="9"/>
      <c r="N11" s="22"/>
      <c r="O11" s="9">
        <v>11718750000</v>
      </c>
      <c r="P11" s="22"/>
      <c r="Q11" s="9">
        <v>1330544171</v>
      </c>
      <c r="R11" s="22"/>
      <c r="S11" s="9">
        <f>O11-Q11</f>
        <v>10388205829</v>
      </c>
    </row>
    <row r="12" spans="1:26" ht="30" customHeight="1">
      <c r="A12" s="19" t="s">
        <v>14</v>
      </c>
      <c r="C12" s="9"/>
      <c r="D12" s="22"/>
      <c r="E12" s="9"/>
      <c r="F12" s="22"/>
      <c r="G12" s="9"/>
      <c r="H12" s="22"/>
      <c r="I12" s="11">
        <f>SUM(I7:I11)</f>
        <v>0</v>
      </c>
      <c r="J12" s="22"/>
      <c r="K12" s="11">
        <f>SUM(K7:K11)</f>
        <v>0</v>
      </c>
      <c r="L12" s="22"/>
      <c r="M12" s="11">
        <f>SUM(M7:M11)</f>
        <v>0</v>
      </c>
      <c r="N12" s="22"/>
      <c r="O12" s="11">
        <f>SUM(O7:O11)</f>
        <v>12202160060</v>
      </c>
      <c r="P12" s="22"/>
      <c r="Q12" s="11">
        <f>SUM(Q7:Q11)</f>
        <v>1347496906</v>
      </c>
      <c r="R12" s="22"/>
      <c r="S12" s="11">
        <f>SUM(S7:S11)</f>
        <v>10854663154</v>
      </c>
    </row>
    <row r="15" spans="1:26" ht="30" customHeight="1">
      <c r="H15" s="62" t="s">
        <v>213</v>
      </c>
    </row>
    <row r="16" spans="1:26" ht="30" customHeight="1">
      <c r="H16" s="86">
        <v>95369890</v>
      </c>
    </row>
    <row r="17" spans="1:8" ht="30" customHeight="1">
      <c r="H17" s="86">
        <v>203431000</v>
      </c>
    </row>
    <row r="18" spans="1:8" ht="30" customHeight="1">
      <c r="H18" s="86">
        <v>167236435</v>
      </c>
    </row>
    <row r="19" spans="1:8" ht="30" customHeight="1">
      <c r="H19" s="86">
        <v>10388205829</v>
      </c>
    </row>
    <row r="20" spans="1:8" ht="30" customHeight="1">
      <c r="H20" s="86">
        <v>420000</v>
      </c>
    </row>
    <row r="21" spans="1:8" ht="30" customHeight="1">
      <c r="H21" s="61"/>
    </row>
    <row r="22" spans="1:8" ht="30" customHeight="1">
      <c r="A22" s="61"/>
      <c r="B22" s="61"/>
      <c r="C22" s="61"/>
      <c r="D22" s="61"/>
      <c r="E22" s="61"/>
      <c r="F22" s="61"/>
      <c r="G22" s="61"/>
      <c r="H22" s="61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24"/>
  <sheetViews>
    <sheetView rightToLeft="1" view="pageBreakPreview" zoomScale="80" zoomScaleNormal="100" zoomScaleSheetLayoutView="80" workbookViewId="0">
      <selection activeCell="Q24" sqref="Q24"/>
    </sheetView>
  </sheetViews>
  <sheetFormatPr defaultRowHeight="30" customHeight="1"/>
  <cols>
    <col min="1" max="1" width="39.5703125" style="20" bestFit="1" customWidth="1"/>
    <col min="2" max="2" width="0.7109375" style="20" customWidth="1"/>
    <col min="3" max="3" width="11" style="20" bestFit="1" customWidth="1"/>
    <col min="4" max="4" width="1.28515625" style="20" customWidth="1"/>
    <col min="5" max="5" width="11.85546875" style="20" customWidth="1"/>
    <col min="6" max="6" width="0.42578125" style="20" customWidth="1"/>
    <col min="7" max="7" width="17.140625" style="20" bestFit="1" customWidth="1"/>
    <col min="8" max="8" width="0.42578125" style="20" customWidth="1"/>
    <col min="9" max="9" width="10.85546875" style="20" bestFit="1" customWidth="1"/>
    <col min="10" max="10" width="0.42578125" style="20" customWidth="1"/>
    <col min="11" max="11" width="17.140625" style="20" bestFit="1" customWidth="1"/>
    <col min="12" max="12" width="0.42578125" style="20" customWidth="1"/>
    <col min="13" max="13" width="18.140625" style="20" bestFit="1" customWidth="1"/>
    <col min="14" max="14" width="0.5703125" style="20" customWidth="1"/>
    <col min="15" max="15" width="10.85546875" style="20" bestFit="1" customWidth="1"/>
    <col min="16" max="16" width="0.5703125" style="20" customWidth="1"/>
    <col min="17" max="17" width="18.140625" style="20" bestFit="1" customWidth="1"/>
    <col min="18" max="18" width="0.28515625" style="20" customWidth="1"/>
    <col min="19" max="16384" width="9.140625" style="20"/>
  </cols>
  <sheetData>
    <row r="1" spans="1:17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</row>
    <row r="2" spans="1:17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</row>
    <row r="3" spans="1:17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</row>
    <row r="4" spans="1:17" s="21" customFormat="1" ht="30" customHeight="1">
      <c r="A4" s="221" t="s">
        <v>218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</row>
    <row r="5" spans="1:17" ht="25.5" customHeight="1">
      <c r="A5" s="223" t="s">
        <v>118</v>
      </c>
      <c r="G5" s="223" t="s">
        <v>128</v>
      </c>
      <c r="H5" s="223"/>
      <c r="I5" s="223"/>
      <c r="J5" s="223"/>
      <c r="K5" s="223"/>
      <c r="M5" s="223" t="str">
        <f>'درآمد سرمایه گذاری در سهام'!$N$5</f>
        <v>از ابتدای سال مالی تا پایان ماه</v>
      </c>
      <c r="N5" s="223"/>
      <c r="O5" s="223"/>
      <c r="P5" s="223"/>
      <c r="Q5" s="223"/>
    </row>
    <row r="6" spans="1:17" ht="38.25" customHeight="1">
      <c r="A6" s="223"/>
      <c r="C6" s="235" t="s">
        <v>47</v>
      </c>
      <c r="D6" s="235"/>
      <c r="E6" s="6" t="s">
        <v>219</v>
      </c>
      <c r="G6" s="7" t="s">
        <v>220</v>
      </c>
      <c r="H6" s="37"/>
      <c r="I6" s="7" t="s">
        <v>212</v>
      </c>
      <c r="J6" s="37"/>
      <c r="K6" s="7" t="s">
        <v>221</v>
      </c>
      <c r="M6" s="7" t="s">
        <v>220</v>
      </c>
      <c r="N6" s="37"/>
      <c r="O6" s="7" t="s">
        <v>212</v>
      </c>
      <c r="P6" s="37"/>
      <c r="Q6" s="7" t="s">
        <v>221</v>
      </c>
    </row>
    <row r="7" spans="1:17" ht="27.95" customHeight="1">
      <c r="A7" s="3" t="s">
        <v>60</v>
      </c>
      <c r="C7" s="3" t="s">
        <v>62</v>
      </c>
      <c r="D7" s="37"/>
      <c r="E7" s="13">
        <v>23</v>
      </c>
      <c r="F7" s="50"/>
      <c r="G7" s="87">
        <v>14288513196</v>
      </c>
      <c r="H7" s="50"/>
      <c r="I7" s="13">
        <v>0</v>
      </c>
      <c r="J7" s="50"/>
      <c r="K7" s="13">
        <f>G7</f>
        <v>14288513196</v>
      </c>
      <c r="L7" s="50"/>
      <c r="M7" s="13">
        <f>55082224459+K7</f>
        <v>69370737655</v>
      </c>
      <c r="N7" s="50"/>
      <c r="O7" s="13">
        <v>0</v>
      </c>
      <c r="P7" s="50"/>
      <c r="Q7" s="13">
        <f>M7</f>
        <v>69370737655</v>
      </c>
    </row>
    <row r="8" spans="1:17" ht="27.95" customHeight="1">
      <c r="A8" s="5" t="s">
        <v>79</v>
      </c>
      <c r="C8" s="5" t="s">
        <v>81</v>
      </c>
      <c r="E8" s="14">
        <v>23</v>
      </c>
      <c r="F8" s="50"/>
      <c r="G8" s="87">
        <v>5324178075</v>
      </c>
      <c r="H8" s="50"/>
      <c r="I8" s="14">
        <v>0</v>
      </c>
      <c r="J8" s="50"/>
      <c r="K8" s="14">
        <f t="shared" ref="K8:K19" si="0">G8</f>
        <v>5324178075</v>
      </c>
      <c r="L8" s="50"/>
      <c r="M8" s="14">
        <f>34772015789+K8</f>
        <v>40096193864</v>
      </c>
      <c r="N8" s="50"/>
      <c r="O8" s="14">
        <v>0</v>
      </c>
      <c r="P8" s="50"/>
      <c r="Q8" s="14">
        <f t="shared" ref="Q8:Q19" si="1">M8</f>
        <v>40096193864</v>
      </c>
    </row>
    <row r="9" spans="1:17" ht="27.95" customHeight="1">
      <c r="A9" s="5" t="s">
        <v>74</v>
      </c>
      <c r="C9" s="5" t="s">
        <v>76</v>
      </c>
      <c r="E9" s="14">
        <v>20.5</v>
      </c>
      <c r="F9" s="50"/>
      <c r="G9" s="87">
        <v>1867147845</v>
      </c>
      <c r="H9" s="50"/>
      <c r="I9" s="14">
        <v>0</v>
      </c>
      <c r="J9" s="50"/>
      <c r="K9" s="14">
        <f t="shared" si="0"/>
        <v>1867147845</v>
      </c>
      <c r="L9" s="50"/>
      <c r="M9" s="14">
        <f>14249274472+K9</f>
        <v>16116422317</v>
      </c>
      <c r="N9" s="50"/>
      <c r="O9" s="14">
        <v>0</v>
      </c>
      <c r="P9" s="50"/>
      <c r="Q9" s="14">
        <f t="shared" si="1"/>
        <v>16116422317</v>
      </c>
    </row>
    <row r="10" spans="1:17" ht="27.95" customHeight="1">
      <c r="A10" s="5" t="s">
        <v>77</v>
      </c>
      <c r="C10" s="5" t="s">
        <v>78</v>
      </c>
      <c r="E10" s="14">
        <v>20.5</v>
      </c>
      <c r="F10" s="50"/>
      <c r="G10" s="87">
        <v>1928499295</v>
      </c>
      <c r="H10" s="50"/>
      <c r="I10" s="14">
        <v>0</v>
      </c>
      <c r="J10" s="50"/>
      <c r="K10" s="14">
        <f t="shared" si="0"/>
        <v>1928499295</v>
      </c>
      <c r="L10" s="50"/>
      <c r="M10" s="14">
        <f>14717482516+K10</f>
        <v>16645981811</v>
      </c>
      <c r="N10" s="50"/>
      <c r="O10" s="14">
        <v>0</v>
      </c>
      <c r="P10" s="50"/>
      <c r="Q10" s="14">
        <f t="shared" si="1"/>
        <v>16645981811</v>
      </c>
    </row>
    <row r="11" spans="1:17" ht="27.95" customHeight="1">
      <c r="A11" s="5" t="s">
        <v>71</v>
      </c>
      <c r="C11" s="5" t="s">
        <v>73</v>
      </c>
      <c r="E11" s="14">
        <v>20.5</v>
      </c>
      <c r="F11" s="50"/>
      <c r="G11" s="87">
        <v>1496415475</v>
      </c>
      <c r="H11" s="50"/>
      <c r="I11" s="14">
        <v>0</v>
      </c>
      <c r="J11" s="50"/>
      <c r="K11" s="14">
        <f t="shared" si="0"/>
        <v>1496415475</v>
      </c>
      <c r="L11" s="50"/>
      <c r="M11" s="14">
        <f>13628872139+K11</f>
        <v>15125287614</v>
      </c>
      <c r="N11" s="50"/>
      <c r="O11" s="14">
        <v>0</v>
      </c>
      <c r="P11" s="50"/>
      <c r="Q11" s="14">
        <f t="shared" si="1"/>
        <v>15125287614</v>
      </c>
    </row>
    <row r="12" spans="1:17" ht="27.95" customHeight="1">
      <c r="A12" s="5" t="s">
        <v>63</v>
      </c>
      <c r="C12" s="5" t="s">
        <v>65</v>
      </c>
      <c r="E12" s="14">
        <v>23</v>
      </c>
      <c r="F12" s="50"/>
      <c r="G12" s="87">
        <v>9987337615</v>
      </c>
      <c r="H12" s="50"/>
      <c r="I12" s="14">
        <v>0</v>
      </c>
      <c r="J12" s="50"/>
      <c r="K12" s="14">
        <f t="shared" si="0"/>
        <v>9987337615</v>
      </c>
      <c r="L12" s="50"/>
      <c r="M12" s="14">
        <f>88970002411+K12</f>
        <v>98957340026</v>
      </c>
      <c r="N12" s="50"/>
      <c r="O12" s="14">
        <v>0</v>
      </c>
      <c r="P12" s="50"/>
      <c r="Q12" s="14">
        <f t="shared" si="1"/>
        <v>98957340026</v>
      </c>
    </row>
    <row r="13" spans="1:17" ht="27.95" customHeight="1">
      <c r="A13" s="5" t="s">
        <v>174</v>
      </c>
      <c r="C13" s="5" t="s">
        <v>222</v>
      </c>
      <c r="E13" s="14">
        <v>23</v>
      </c>
      <c r="F13" s="50"/>
      <c r="G13" s="14">
        <v>0</v>
      </c>
      <c r="H13" s="50"/>
      <c r="I13" s="14">
        <v>0</v>
      </c>
      <c r="J13" s="50"/>
      <c r="K13" s="14">
        <f t="shared" si="0"/>
        <v>0</v>
      </c>
      <c r="L13" s="50"/>
      <c r="M13" s="14">
        <v>43943210924</v>
      </c>
      <c r="N13" s="50"/>
      <c r="O13" s="14">
        <v>0</v>
      </c>
      <c r="P13" s="50"/>
      <c r="Q13" s="14">
        <f t="shared" si="1"/>
        <v>43943210924</v>
      </c>
    </row>
    <row r="14" spans="1:17" ht="27.95" customHeight="1">
      <c r="A14" s="5" t="s">
        <v>153</v>
      </c>
      <c r="C14" s="5" t="s">
        <v>223</v>
      </c>
      <c r="E14" s="14">
        <v>17</v>
      </c>
      <c r="F14" s="50"/>
      <c r="G14" s="14">
        <v>0</v>
      </c>
      <c r="H14" s="50"/>
      <c r="I14" s="14">
        <v>0</v>
      </c>
      <c r="J14" s="50"/>
      <c r="K14" s="14">
        <f t="shared" si="0"/>
        <v>0</v>
      </c>
      <c r="L14" s="50"/>
      <c r="M14" s="14">
        <v>2433957924</v>
      </c>
      <c r="N14" s="50"/>
      <c r="O14" s="14">
        <v>0</v>
      </c>
      <c r="P14" s="50"/>
      <c r="Q14" s="14">
        <f t="shared" si="1"/>
        <v>2433957924</v>
      </c>
    </row>
    <row r="15" spans="1:17" ht="27.95" customHeight="1">
      <c r="A15" s="5" t="s">
        <v>68</v>
      </c>
      <c r="C15" s="5" t="s">
        <v>70</v>
      </c>
      <c r="E15" s="14">
        <v>18</v>
      </c>
      <c r="F15" s="50"/>
      <c r="G15" s="14">
        <v>6285222833</v>
      </c>
      <c r="H15" s="50"/>
      <c r="I15" s="14">
        <v>0</v>
      </c>
      <c r="J15" s="50"/>
      <c r="K15" s="14">
        <f t="shared" si="0"/>
        <v>6285222833</v>
      </c>
      <c r="L15" s="50"/>
      <c r="M15" s="14">
        <f>49991453514+K15</f>
        <v>56276676347</v>
      </c>
      <c r="N15" s="50"/>
      <c r="O15" s="14">
        <v>0</v>
      </c>
      <c r="P15" s="50"/>
      <c r="Q15" s="14">
        <f t="shared" si="1"/>
        <v>56276676347</v>
      </c>
    </row>
    <row r="16" spans="1:17" ht="27.95" customHeight="1">
      <c r="A16" s="5" t="s">
        <v>166</v>
      </c>
      <c r="C16" s="5" t="s">
        <v>224</v>
      </c>
      <c r="E16" s="14">
        <v>18</v>
      </c>
      <c r="F16" s="50"/>
      <c r="G16" s="14"/>
      <c r="H16" s="50"/>
      <c r="I16" s="14">
        <v>0</v>
      </c>
      <c r="J16" s="50"/>
      <c r="K16" s="14">
        <f t="shared" si="0"/>
        <v>0</v>
      </c>
      <c r="L16" s="50"/>
      <c r="M16" s="14">
        <v>2050106476</v>
      </c>
      <c r="N16" s="50"/>
      <c r="O16" s="14">
        <v>0</v>
      </c>
      <c r="P16" s="50"/>
      <c r="Q16" s="14">
        <f t="shared" si="1"/>
        <v>2050106476</v>
      </c>
    </row>
    <row r="17" spans="1:17" ht="27.95" customHeight="1">
      <c r="A17" s="5" t="s">
        <v>66</v>
      </c>
      <c r="C17" s="5" t="s">
        <v>67</v>
      </c>
      <c r="E17" s="14">
        <v>18</v>
      </c>
      <c r="F17" s="50"/>
      <c r="G17" s="14">
        <v>0</v>
      </c>
      <c r="H17" s="50"/>
      <c r="I17" s="14">
        <v>0</v>
      </c>
      <c r="J17" s="50"/>
      <c r="K17" s="14">
        <f t="shared" si="0"/>
        <v>0</v>
      </c>
      <c r="L17" s="50"/>
      <c r="M17" s="81">
        <v>63699976699</v>
      </c>
      <c r="N17" s="50"/>
      <c r="O17" s="14">
        <v>0</v>
      </c>
      <c r="P17" s="50"/>
      <c r="Q17" s="14">
        <f t="shared" si="1"/>
        <v>63699976699</v>
      </c>
    </row>
    <row r="18" spans="1:17" ht="27.95" customHeight="1">
      <c r="A18" s="5" t="s">
        <v>168</v>
      </c>
      <c r="C18" s="5" t="s">
        <v>225</v>
      </c>
      <c r="E18" s="14">
        <v>18</v>
      </c>
      <c r="F18" s="50"/>
      <c r="G18" s="14">
        <v>0</v>
      </c>
      <c r="H18" s="50"/>
      <c r="I18" s="14">
        <v>0</v>
      </c>
      <c r="J18" s="50"/>
      <c r="K18" s="14">
        <f>G18</f>
        <v>0</v>
      </c>
      <c r="L18" s="50"/>
      <c r="M18" s="14">
        <v>263076257</v>
      </c>
      <c r="N18" s="50"/>
      <c r="O18" s="14">
        <v>0</v>
      </c>
      <c r="P18" s="50"/>
      <c r="Q18" s="14">
        <f t="shared" si="1"/>
        <v>263076257</v>
      </c>
    </row>
    <row r="19" spans="1:17" ht="27.95" customHeight="1">
      <c r="A19" s="5" t="s">
        <v>151</v>
      </c>
      <c r="C19" s="5" t="s">
        <v>227</v>
      </c>
      <c r="E19" s="14">
        <v>18</v>
      </c>
      <c r="F19" s="50"/>
      <c r="G19" s="14">
        <v>0</v>
      </c>
      <c r="H19" s="50"/>
      <c r="I19" s="14">
        <v>0</v>
      </c>
      <c r="J19" s="50"/>
      <c r="K19" s="14">
        <f t="shared" si="0"/>
        <v>0</v>
      </c>
      <c r="L19" s="50"/>
      <c r="M19" s="14">
        <v>2303772647</v>
      </c>
      <c r="N19" s="50"/>
      <c r="O19" s="14">
        <v>0</v>
      </c>
      <c r="P19" s="50"/>
      <c r="Q19" s="14">
        <f t="shared" si="1"/>
        <v>2303772647</v>
      </c>
    </row>
    <row r="20" spans="1:17" ht="27.95" customHeight="1">
      <c r="A20" s="5" t="s">
        <v>152</v>
      </c>
      <c r="C20" s="5" t="s">
        <v>228</v>
      </c>
      <c r="E20" s="14">
        <v>18</v>
      </c>
      <c r="F20" s="50"/>
      <c r="G20" s="14">
        <v>0</v>
      </c>
      <c r="H20" s="50"/>
      <c r="I20" s="14">
        <v>0</v>
      </c>
      <c r="J20" s="50"/>
      <c r="K20" s="14">
        <f>G20</f>
        <v>0</v>
      </c>
      <c r="L20" s="50"/>
      <c r="M20" s="14">
        <v>830465622</v>
      </c>
      <c r="N20" s="50"/>
      <c r="O20" s="14">
        <v>0</v>
      </c>
      <c r="P20" s="50"/>
      <c r="Q20" s="14">
        <f>M20</f>
        <v>830465622</v>
      </c>
    </row>
    <row r="21" spans="1:17" ht="27.95" customHeight="1">
      <c r="A21" s="5" t="s">
        <v>164</v>
      </c>
      <c r="C21" s="5" t="s">
        <v>226</v>
      </c>
      <c r="D21"/>
      <c r="E21" s="14">
        <v>18</v>
      </c>
      <c r="F21" s="51">
        <v>18</v>
      </c>
      <c r="G21" s="14">
        <v>0</v>
      </c>
      <c r="H21" s="50"/>
      <c r="I21" s="14">
        <v>0</v>
      </c>
      <c r="J21" s="50"/>
      <c r="K21" s="14"/>
      <c r="L21" s="50"/>
      <c r="M21" s="52"/>
      <c r="N21" s="53"/>
      <c r="O21" s="54"/>
      <c r="P21" s="53"/>
      <c r="Q21" s="52"/>
    </row>
    <row r="22" spans="1:17" ht="27.95" customHeight="1">
      <c r="A22" s="5" t="s">
        <v>296</v>
      </c>
      <c r="C22" s="5" t="s">
        <v>297</v>
      </c>
      <c r="D22"/>
      <c r="E22" s="14">
        <v>23</v>
      </c>
      <c r="F22" s="51"/>
      <c r="G22" s="14">
        <v>2380493645</v>
      </c>
      <c r="H22" s="50"/>
      <c r="I22" s="14">
        <v>0</v>
      </c>
      <c r="J22" s="50"/>
      <c r="K22" s="14">
        <f>G22</f>
        <v>2380493645</v>
      </c>
      <c r="L22" s="50"/>
      <c r="M22" s="14">
        <v>2380493645</v>
      </c>
      <c r="N22" s="53"/>
      <c r="O22" s="54"/>
      <c r="P22" s="53"/>
      <c r="Q22" s="81">
        <f>M22</f>
        <v>2380493645</v>
      </c>
    </row>
    <row r="23" spans="1:17" s="30" customFormat="1" ht="27.95" customHeight="1" thickBot="1">
      <c r="A23" s="19" t="s">
        <v>14</v>
      </c>
      <c r="C23" s="38"/>
      <c r="E23" s="40"/>
      <c r="F23" s="56"/>
      <c r="G23" s="55">
        <f>SUM(G7:G22)</f>
        <v>43557807979</v>
      </c>
      <c r="H23" s="56"/>
      <c r="I23" s="55">
        <v>0</v>
      </c>
      <c r="J23" s="56"/>
      <c r="K23" s="55">
        <f>SUM(K7:K22)</f>
        <v>43557807979</v>
      </c>
      <c r="L23" s="56"/>
      <c r="M23" s="55">
        <f>SUM(M7:M22)</f>
        <v>430493699828</v>
      </c>
      <c r="N23" s="56"/>
      <c r="O23" s="55">
        <v>0</v>
      </c>
      <c r="P23" s="56"/>
      <c r="Q23" s="55">
        <f>SUM(Q7:Q22)</f>
        <v>430493699828</v>
      </c>
    </row>
    <row r="24" spans="1:17" ht="30" customHeight="1" thickTop="1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AC31"/>
  <sheetViews>
    <sheetView rightToLeft="1" view="pageBreakPreview" zoomScale="64" zoomScaleNormal="100" zoomScaleSheetLayoutView="64" workbookViewId="0">
      <selection activeCell="B5" sqref="B5"/>
    </sheetView>
  </sheetViews>
  <sheetFormatPr defaultRowHeight="30" customHeight="1"/>
  <cols>
    <col min="1" max="1" width="28" style="20" bestFit="1" customWidth="1"/>
    <col min="2" max="2" width="1.28515625" style="20" customWidth="1"/>
    <col min="3" max="3" width="12.85546875" style="20" bestFit="1" customWidth="1"/>
    <col min="4" max="4" width="1.28515625" style="20" customWidth="1"/>
    <col min="5" max="5" width="19.7109375" style="20" bestFit="1" customWidth="1"/>
    <col min="6" max="6" width="1.28515625" style="20" customWidth="1"/>
    <col min="7" max="7" width="20.140625" style="20" bestFit="1" customWidth="1"/>
    <col min="8" max="8" width="1.28515625" style="20" customWidth="1"/>
    <col min="9" max="9" width="16.5703125" style="20" customWidth="1"/>
    <col min="10" max="10" width="1.28515625" style="20" customWidth="1"/>
    <col min="11" max="11" width="12.85546875" style="20" bestFit="1" customWidth="1"/>
    <col min="12" max="12" width="1.28515625" style="20" customWidth="1"/>
    <col min="13" max="13" width="19.7109375" style="20" bestFit="1" customWidth="1"/>
    <col min="14" max="14" width="1.28515625" style="20" customWidth="1"/>
    <col min="15" max="15" width="20.140625" style="20" bestFit="1" customWidth="1"/>
    <col min="16" max="16" width="1.28515625" style="20" customWidth="1"/>
    <col min="17" max="17" width="14.28515625" style="20" customWidth="1"/>
    <col min="18" max="18" width="6" style="20" customWidth="1"/>
    <col min="19" max="19" width="0.28515625" style="20" customWidth="1"/>
    <col min="20" max="20" width="21.140625" style="93" customWidth="1"/>
    <col min="21" max="21" width="9.85546875" style="31" customWidth="1"/>
    <col min="22" max="22" width="14.42578125" style="31" bestFit="1" customWidth="1"/>
    <col min="23" max="23" width="14.85546875" style="31" hidden="1" customWidth="1"/>
    <col min="24" max="24" width="14.85546875" style="31" customWidth="1"/>
    <col min="25" max="25" width="14.42578125" style="31" hidden="1" customWidth="1"/>
    <col min="26" max="26" width="15.85546875" style="31" bestFit="1" customWidth="1"/>
    <col min="27" max="27" width="12.28515625" style="31" hidden="1" customWidth="1"/>
    <col min="28" max="28" width="12.5703125" style="31" hidden="1" customWidth="1"/>
    <col min="29" max="29" width="12.85546875" style="31" bestFit="1" customWidth="1"/>
    <col min="30" max="16384" width="9.140625" style="20"/>
  </cols>
  <sheetData>
    <row r="1" spans="1:29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</row>
    <row r="2" spans="1:29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</row>
    <row r="3" spans="1:29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1:29" s="21" customFormat="1" ht="30" customHeight="1">
      <c r="A4" s="221" t="s">
        <v>234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T4" s="93"/>
      <c r="U4" s="89"/>
      <c r="V4" s="89"/>
      <c r="W4" s="89"/>
      <c r="X4" s="89"/>
      <c r="Y4" s="89"/>
      <c r="Z4" s="89"/>
      <c r="AA4" s="89"/>
      <c r="AB4" s="89"/>
      <c r="AC4" s="89"/>
    </row>
    <row r="5" spans="1:29" ht="21.75" customHeight="1">
      <c r="A5" s="223" t="s">
        <v>118</v>
      </c>
      <c r="C5" s="223" t="s">
        <v>128</v>
      </c>
      <c r="D5" s="223"/>
      <c r="E5" s="223"/>
      <c r="F5" s="223"/>
      <c r="G5" s="223"/>
      <c r="H5" s="223"/>
      <c r="I5" s="223"/>
      <c r="K5" s="223" t="str">
        <f>'درآمد سرمایه گذاری در سهام'!$N$5</f>
        <v>از ابتدای سال مالی تا پایان ماه</v>
      </c>
      <c r="L5" s="223"/>
      <c r="M5" s="223"/>
      <c r="N5" s="223"/>
      <c r="O5" s="223"/>
      <c r="P5" s="223"/>
      <c r="Q5" s="223"/>
      <c r="R5" s="223"/>
    </row>
    <row r="6" spans="1:29" ht="38.25" customHeight="1">
      <c r="A6" s="223"/>
      <c r="C6" s="7" t="s">
        <v>6</v>
      </c>
      <c r="D6" s="37"/>
      <c r="E6" s="7" t="s">
        <v>8</v>
      </c>
      <c r="F6" s="37"/>
      <c r="G6" s="7" t="s">
        <v>232</v>
      </c>
      <c r="H6" s="37"/>
      <c r="I6" s="7" t="s">
        <v>235</v>
      </c>
      <c r="K6" s="7" t="s">
        <v>6</v>
      </c>
      <c r="L6" s="37"/>
      <c r="M6" s="7" t="s">
        <v>8</v>
      </c>
      <c r="N6" s="37"/>
      <c r="O6" s="7" t="s">
        <v>232</v>
      </c>
      <c r="P6" s="37"/>
      <c r="Q6" s="245" t="s">
        <v>235</v>
      </c>
      <c r="R6" s="245"/>
      <c r="T6" s="62"/>
      <c r="U6" s="62"/>
      <c r="V6" s="62"/>
      <c r="W6" s="62"/>
      <c r="X6" s="62"/>
      <c r="Y6" s="62"/>
      <c r="Z6" s="62"/>
      <c r="AA6" s="62"/>
      <c r="AB6" s="62"/>
      <c r="AC6" s="62"/>
    </row>
    <row r="7" spans="1:29" ht="30" customHeight="1">
      <c r="A7" s="98" t="s">
        <v>41</v>
      </c>
      <c r="B7" s="99"/>
      <c r="C7" s="100">
        <v>3480403</v>
      </c>
      <c r="D7" s="101"/>
      <c r="E7" s="100">
        <v>34675793464</v>
      </c>
      <c r="F7" s="101"/>
      <c r="G7" s="100">
        <v>35287616988</v>
      </c>
      <c r="H7" s="101"/>
      <c r="I7" s="97">
        <f>E7-G7</f>
        <v>-611823524</v>
      </c>
      <c r="J7" s="101"/>
      <c r="K7" s="100">
        <v>3480403</v>
      </c>
      <c r="L7" s="101"/>
      <c r="M7" s="100">
        <v>34675793464</v>
      </c>
      <c r="N7" s="101"/>
      <c r="O7" s="100">
        <v>37141449137</v>
      </c>
      <c r="P7" s="101"/>
      <c r="Q7" s="268">
        <f t="shared" ref="Q7:Q22" si="0">M7-O7</f>
        <v>-2465655673</v>
      </c>
      <c r="R7" s="268"/>
      <c r="T7" s="64"/>
      <c r="U7" s="65"/>
      <c r="V7" s="65"/>
      <c r="W7" s="65"/>
      <c r="X7" s="65"/>
      <c r="Y7" s="65"/>
      <c r="Z7" s="65"/>
      <c r="AA7" s="90"/>
      <c r="AB7" s="94"/>
      <c r="AC7" s="90"/>
    </row>
    <row r="8" spans="1:29" ht="30" customHeight="1">
      <c r="A8" s="102" t="s">
        <v>39</v>
      </c>
      <c r="B8" s="99"/>
      <c r="C8" s="103">
        <v>488982</v>
      </c>
      <c r="D8" s="101"/>
      <c r="E8" s="103">
        <v>5006113672</v>
      </c>
      <c r="F8" s="101"/>
      <c r="G8" s="103">
        <v>5185388578</v>
      </c>
      <c r="H8" s="101"/>
      <c r="I8" s="96">
        <f>E8-G8</f>
        <v>-179274906</v>
      </c>
      <c r="J8" s="101"/>
      <c r="K8" s="103">
        <v>488982</v>
      </c>
      <c r="L8" s="101"/>
      <c r="M8" s="103">
        <v>5006113672</v>
      </c>
      <c r="N8" s="101"/>
      <c r="O8" s="103">
        <v>4895492190</v>
      </c>
      <c r="P8" s="101"/>
      <c r="Q8" s="258">
        <f t="shared" si="0"/>
        <v>110621482</v>
      </c>
      <c r="R8" s="258"/>
      <c r="T8" s="64"/>
      <c r="U8" s="65"/>
      <c r="V8" s="65"/>
      <c r="W8" s="65"/>
      <c r="X8" s="65"/>
      <c r="Y8" s="65"/>
      <c r="Z8" s="65"/>
      <c r="AA8" s="90"/>
      <c r="AB8" s="94"/>
      <c r="AC8" s="94"/>
    </row>
    <row r="9" spans="1:29" ht="30" customHeight="1">
      <c r="A9" s="102" t="s">
        <v>13</v>
      </c>
      <c r="B9" s="99"/>
      <c r="C9" s="103">
        <v>58593750</v>
      </c>
      <c r="D9" s="101"/>
      <c r="E9" s="103">
        <v>347548614258</v>
      </c>
      <c r="F9" s="101"/>
      <c r="G9" s="103">
        <v>341898837890</v>
      </c>
      <c r="H9" s="101"/>
      <c r="I9" s="104">
        <f t="shared" ref="I9:I22" si="1">E9-G9</f>
        <v>5649776368</v>
      </c>
      <c r="J9" s="96"/>
      <c r="K9" s="103">
        <v>58593750</v>
      </c>
      <c r="L9" s="101"/>
      <c r="M9" s="103">
        <v>347548614257</v>
      </c>
      <c r="N9" s="101"/>
      <c r="O9" s="103">
        <v>308873856445</v>
      </c>
      <c r="P9" s="101"/>
      <c r="Q9" s="258">
        <f t="shared" si="0"/>
        <v>38674757812</v>
      </c>
      <c r="R9" s="258"/>
      <c r="T9" s="64"/>
      <c r="U9" s="65"/>
      <c r="V9" s="65"/>
      <c r="W9" s="65"/>
      <c r="X9" s="65"/>
      <c r="Y9" s="65"/>
      <c r="Z9" s="65"/>
      <c r="AA9" s="90"/>
      <c r="AB9" s="94"/>
      <c r="AC9" s="90"/>
    </row>
    <row r="10" spans="1:29" ht="30" customHeight="1">
      <c r="A10" s="102" t="s">
        <v>68</v>
      </c>
      <c r="B10" s="99"/>
      <c r="C10" s="103">
        <v>445000</v>
      </c>
      <c r="D10" s="101"/>
      <c r="E10" s="103">
        <v>423785674922</v>
      </c>
      <c r="F10" s="101"/>
      <c r="G10" s="103">
        <v>424523800134</v>
      </c>
      <c r="H10" s="101"/>
      <c r="I10" s="96">
        <f t="shared" si="1"/>
        <v>-738125212</v>
      </c>
      <c r="J10" s="101"/>
      <c r="K10" s="103">
        <v>445000</v>
      </c>
      <c r="L10" s="101"/>
      <c r="M10" s="103">
        <v>423785674922</v>
      </c>
      <c r="N10" s="101"/>
      <c r="O10" s="103">
        <v>407362388951</v>
      </c>
      <c r="P10" s="101"/>
      <c r="Q10" s="258">
        <f t="shared" si="0"/>
        <v>16423285971</v>
      </c>
      <c r="R10" s="258"/>
      <c r="T10" s="64"/>
      <c r="U10" s="65"/>
      <c r="V10" s="65"/>
      <c r="W10" s="65"/>
      <c r="X10" s="65"/>
      <c r="Y10" s="65"/>
      <c r="Z10" s="65"/>
      <c r="AA10" s="90"/>
      <c r="AB10" s="94"/>
      <c r="AC10" s="94"/>
    </row>
    <row r="11" spans="1:29" ht="30" customHeight="1">
      <c r="A11" s="102" t="s">
        <v>63</v>
      </c>
      <c r="B11" s="99"/>
      <c r="C11" s="103">
        <v>455000</v>
      </c>
      <c r="D11" s="101"/>
      <c r="E11" s="103">
        <v>464015881875</v>
      </c>
      <c r="F11" s="101"/>
      <c r="G11" s="103">
        <v>464015881875</v>
      </c>
      <c r="H11" s="101"/>
      <c r="I11" s="96">
        <f t="shared" si="1"/>
        <v>0</v>
      </c>
      <c r="J11" s="101"/>
      <c r="K11" s="103">
        <v>455000</v>
      </c>
      <c r="L11" s="101"/>
      <c r="M11" s="103">
        <v>464015881875</v>
      </c>
      <c r="N11" s="101"/>
      <c r="O11" s="103">
        <v>455019361875</v>
      </c>
      <c r="P11" s="101"/>
      <c r="Q11" s="258">
        <f t="shared" si="0"/>
        <v>8996520000</v>
      </c>
      <c r="R11" s="258"/>
      <c r="T11" s="64"/>
      <c r="U11" s="65"/>
      <c r="V11" s="65"/>
      <c r="W11" s="65"/>
      <c r="X11" s="65"/>
      <c r="Y11" s="65"/>
      <c r="Z11" s="65"/>
      <c r="AA11" s="90"/>
      <c r="AB11" s="94"/>
      <c r="AC11" s="90"/>
    </row>
    <row r="12" spans="1:29" ht="30" customHeight="1">
      <c r="A12" s="102" t="s">
        <v>71</v>
      </c>
      <c r="B12" s="99"/>
      <c r="C12" s="103">
        <v>95000</v>
      </c>
      <c r="D12" s="101"/>
      <c r="E12" s="103">
        <v>87906564047</v>
      </c>
      <c r="F12" s="101"/>
      <c r="G12" s="103">
        <v>88580941793</v>
      </c>
      <c r="H12" s="101"/>
      <c r="I12" s="96">
        <f t="shared" si="1"/>
        <v>-674377746</v>
      </c>
      <c r="J12" s="101"/>
      <c r="K12" s="103">
        <v>95000</v>
      </c>
      <c r="L12" s="101"/>
      <c r="M12" s="103">
        <v>87906564047</v>
      </c>
      <c r="N12" s="101"/>
      <c r="O12" s="103">
        <v>91563401126</v>
      </c>
      <c r="P12" s="101"/>
      <c r="Q12" s="254">
        <f t="shared" si="0"/>
        <v>-3656837079</v>
      </c>
      <c r="R12" s="254"/>
      <c r="T12" s="64"/>
      <c r="U12" s="65"/>
      <c r="V12" s="65"/>
      <c r="W12" s="65"/>
      <c r="X12" s="65"/>
      <c r="Y12" s="65"/>
      <c r="Z12" s="65"/>
      <c r="AA12" s="90"/>
      <c r="AB12" s="94"/>
      <c r="AC12" s="90"/>
    </row>
    <row r="13" spans="1:29" ht="30" customHeight="1">
      <c r="A13" s="102" t="s">
        <v>74</v>
      </c>
      <c r="B13" s="99"/>
      <c r="C13" s="103">
        <v>102957</v>
      </c>
      <c r="D13" s="101"/>
      <c r="E13" s="103">
        <v>101908955653</v>
      </c>
      <c r="F13" s="101"/>
      <c r="G13" s="103">
        <v>101908955653</v>
      </c>
      <c r="H13" s="101"/>
      <c r="I13" s="103">
        <f t="shared" si="1"/>
        <v>0</v>
      </c>
      <c r="J13" s="101"/>
      <c r="K13" s="103">
        <v>102957</v>
      </c>
      <c r="L13" s="101"/>
      <c r="M13" s="103">
        <v>101908955653</v>
      </c>
      <c r="N13" s="101"/>
      <c r="O13" s="103">
        <v>100566639712</v>
      </c>
      <c r="P13" s="101"/>
      <c r="Q13" s="258">
        <f t="shared" si="0"/>
        <v>1342315941</v>
      </c>
      <c r="R13" s="258"/>
      <c r="T13" s="64"/>
      <c r="U13" s="65"/>
      <c r="V13" s="65"/>
      <c r="W13" s="65"/>
      <c r="X13" s="65"/>
      <c r="Y13" s="65"/>
      <c r="Z13" s="65"/>
      <c r="AA13" s="90"/>
      <c r="AB13" s="94"/>
      <c r="AC13" s="94"/>
    </row>
    <row r="14" spans="1:29" ht="30" customHeight="1">
      <c r="A14" s="102" t="s">
        <v>77</v>
      </c>
      <c r="B14" s="99"/>
      <c r="C14" s="103">
        <v>106340</v>
      </c>
      <c r="D14" s="101"/>
      <c r="E14" s="103">
        <v>101111010307</v>
      </c>
      <c r="F14" s="101"/>
      <c r="G14" s="103">
        <v>101111010307</v>
      </c>
      <c r="H14" s="101"/>
      <c r="I14" s="103">
        <f t="shared" si="1"/>
        <v>0</v>
      </c>
      <c r="J14" s="101"/>
      <c r="K14" s="103">
        <v>106340</v>
      </c>
      <c r="L14" s="101"/>
      <c r="M14" s="103">
        <v>101111010307</v>
      </c>
      <c r="N14" s="101"/>
      <c r="O14" s="103">
        <v>101323651758</v>
      </c>
      <c r="P14" s="101"/>
      <c r="Q14" s="254">
        <f t="shared" si="0"/>
        <v>-212641451</v>
      </c>
      <c r="R14" s="254"/>
      <c r="T14" s="64"/>
      <c r="U14" s="65"/>
      <c r="V14" s="65"/>
      <c r="W14" s="65"/>
      <c r="X14" s="65"/>
      <c r="Y14" s="65"/>
      <c r="Z14" s="65"/>
      <c r="AA14" s="90"/>
      <c r="AB14" s="94"/>
      <c r="AC14" s="90"/>
    </row>
    <row r="15" spans="1:29" ht="30" customHeight="1">
      <c r="A15" s="102" t="s">
        <v>55</v>
      </c>
      <c r="B15" s="99"/>
      <c r="C15" s="103">
        <v>61768</v>
      </c>
      <c r="D15" s="101"/>
      <c r="E15" s="103">
        <v>38599855548</v>
      </c>
      <c r="F15" s="101"/>
      <c r="G15" s="103">
        <v>38563533612</v>
      </c>
      <c r="H15" s="101"/>
      <c r="I15" s="103">
        <f t="shared" si="1"/>
        <v>36321936</v>
      </c>
      <c r="J15" s="101"/>
      <c r="K15" s="103">
        <v>61768</v>
      </c>
      <c r="L15" s="101"/>
      <c r="M15" s="103">
        <v>38599855548</v>
      </c>
      <c r="N15" s="101"/>
      <c r="O15" s="103">
        <v>37741597368</v>
      </c>
      <c r="P15" s="101"/>
      <c r="Q15" s="257">
        <f t="shared" si="0"/>
        <v>858258180</v>
      </c>
      <c r="R15" s="257"/>
      <c r="T15" s="64"/>
      <c r="U15" s="65"/>
      <c r="V15" s="65"/>
      <c r="W15" s="65"/>
      <c r="X15" s="65"/>
      <c r="Y15" s="65"/>
      <c r="Z15" s="65"/>
      <c r="AA15" s="90"/>
      <c r="AB15" s="94"/>
      <c r="AC15" s="90"/>
    </row>
    <row r="16" spans="1:29" ht="30" customHeight="1">
      <c r="A16" s="102" t="s">
        <v>58</v>
      </c>
      <c r="B16" s="99"/>
      <c r="C16" s="103">
        <v>40115</v>
      </c>
      <c r="D16" s="101"/>
      <c r="E16" s="103">
        <v>21756036604</v>
      </c>
      <c r="F16" s="101"/>
      <c r="G16" s="103">
        <v>21888144386</v>
      </c>
      <c r="H16" s="101"/>
      <c r="I16" s="96">
        <f t="shared" si="1"/>
        <v>-132107782</v>
      </c>
      <c r="J16" s="101"/>
      <c r="K16" s="103">
        <v>40115</v>
      </c>
      <c r="L16" s="101"/>
      <c r="M16" s="103">
        <v>21756036604</v>
      </c>
      <c r="N16" s="101"/>
      <c r="O16" s="103">
        <v>21592686331</v>
      </c>
      <c r="P16" s="101"/>
      <c r="Q16" s="257">
        <f t="shared" si="0"/>
        <v>163350273</v>
      </c>
      <c r="R16" s="257"/>
      <c r="T16" s="64"/>
      <c r="U16" s="65"/>
      <c r="V16" s="65"/>
      <c r="W16" s="65"/>
      <c r="X16" s="65"/>
      <c r="Y16" s="65"/>
      <c r="Z16" s="65"/>
      <c r="AA16" s="90"/>
      <c r="AB16" s="94"/>
      <c r="AC16" s="90"/>
    </row>
    <row r="17" spans="1:29" ht="30" customHeight="1">
      <c r="A17" s="102" t="s">
        <v>79</v>
      </c>
      <c r="B17" s="99"/>
      <c r="C17" s="103">
        <v>200000</v>
      </c>
      <c r="D17" s="101"/>
      <c r="E17" s="103">
        <v>199963750000</v>
      </c>
      <c r="F17" s="101"/>
      <c r="G17" s="103">
        <v>199963750000</v>
      </c>
      <c r="H17" s="101"/>
      <c r="I17" s="103">
        <f t="shared" si="1"/>
        <v>0</v>
      </c>
      <c r="J17" s="101"/>
      <c r="K17" s="103">
        <v>200000</v>
      </c>
      <c r="L17" s="101"/>
      <c r="M17" s="103">
        <v>199963750000</v>
      </c>
      <c r="N17" s="101"/>
      <c r="O17" s="103">
        <v>200000000000</v>
      </c>
      <c r="P17" s="101"/>
      <c r="Q17" s="254">
        <f t="shared" si="0"/>
        <v>-36250000</v>
      </c>
      <c r="R17" s="254"/>
      <c r="T17" s="64"/>
      <c r="U17" s="65"/>
      <c r="V17" s="65"/>
      <c r="W17" s="65"/>
      <c r="X17" s="65"/>
      <c r="Y17" s="65"/>
      <c r="Z17" s="65"/>
      <c r="AA17" s="90"/>
      <c r="AB17" s="94"/>
      <c r="AC17" s="90"/>
    </row>
    <row r="18" spans="1:29" ht="30" customHeight="1">
      <c r="A18" s="102" t="s">
        <v>49</v>
      </c>
      <c r="B18" s="99"/>
      <c r="C18" s="103">
        <v>26889</v>
      </c>
      <c r="D18" s="101"/>
      <c r="E18" s="103">
        <v>15346265855</v>
      </c>
      <c r="F18" s="101"/>
      <c r="G18" s="103">
        <v>15286047615</v>
      </c>
      <c r="H18" s="101"/>
      <c r="I18" s="103">
        <f t="shared" si="1"/>
        <v>60218240</v>
      </c>
      <c r="J18" s="101"/>
      <c r="K18" s="103">
        <v>26889</v>
      </c>
      <c r="L18" s="101"/>
      <c r="M18" s="103">
        <v>15346265855</v>
      </c>
      <c r="N18" s="101"/>
      <c r="O18" s="103">
        <v>14949361170</v>
      </c>
      <c r="P18" s="101"/>
      <c r="Q18" s="257">
        <f t="shared" si="0"/>
        <v>396904685</v>
      </c>
      <c r="R18" s="257"/>
      <c r="T18" s="64"/>
      <c r="U18" s="65"/>
      <c r="V18" s="65"/>
      <c r="W18" s="65"/>
      <c r="X18" s="65"/>
      <c r="Y18" s="65"/>
      <c r="Z18" s="65"/>
      <c r="AA18" s="90"/>
      <c r="AB18" s="94"/>
      <c r="AC18" s="90"/>
    </row>
    <row r="19" spans="1:29" ht="30" customHeight="1">
      <c r="A19" s="102" t="s">
        <v>82</v>
      </c>
      <c r="B19" s="99"/>
      <c r="C19" s="103">
        <v>165743</v>
      </c>
      <c r="D19" s="101"/>
      <c r="E19" s="103">
        <v>90472647140</v>
      </c>
      <c r="F19" s="101"/>
      <c r="G19" s="103">
        <v>90734707615</v>
      </c>
      <c r="H19" s="101"/>
      <c r="I19" s="96">
        <f t="shared" si="1"/>
        <v>-262060475</v>
      </c>
      <c r="J19" s="101"/>
      <c r="K19" s="103">
        <v>165743</v>
      </c>
      <c r="L19" s="101"/>
      <c r="M19" s="103">
        <v>90472647140</v>
      </c>
      <c r="N19" s="101"/>
      <c r="O19" s="103">
        <v>90078075861</v>
      </c>
      <c r="P19" s="101"/>
      <c r="Q19" s="257">
        <f t="shared" si="0"/>
        <v>394571279</v>
      </c>
      <c r="R19" s="257"/>
      <c r="T19" s="64"/>
      <c r="U19" s="65"/>
      <c r="V19" s="65"/>
      <c r="W19" s="65"/>
      <c r="X19" s="65"/>
      <c r="Y19" s="65"/>
      <c r="Z19" s="65"/>
      <c r="AA19" s="90"/>
      <c r="AB19" s="94"/>
      <c r="AC19" s="94"/>
    </row>
    <row r="20" spans="1:29" ht="30" customHeight="1">
      <c r="A20" s="102" t="s">
        <v>53</v>
      </c>
      <c r="B20" s="99"/>
      <c r="C20" s="103">
        <v>137930</v>
      </c>
      <c r="D20" s="101"/>
      <c r="E20" s="103">
        <v>73351669600</v>
      </c>
      <c r="F20" s="101"/>
      <c r="G20" s="103">
        <v>73787865945</v>
      </c>
      <c r="H20" s="101"/>
      <c r="I20" s="254">
        <f t="shared" si="1"/>
        <v>-436196345</v>
      </c>
      <c r="J20" s="254"/>
      <c r="K20" s="103">
        <v>137930</v>
      </c>
      <c r="L20" s="101"/>
      <c r="M20" s="103">
        <v>73351669600</v>
      </c>
      <c r="N20" s="101"/>
      <c r="O20" s="103">
        <v>69378434961</v>
      </c>
      <c r="P20" s="101"/>
      <c r="Q20" s="257">
        <f t="shared" si="0"/>
        <v>3973234639</v>
      </c>
      <c r="R20" s="257"/>
      <c r="T20" s="64"/>
      <c r="U20" s="65"/>
      <c r="V20" s="65"/>
      <c r="W20" s="65"/>
      <c r="X20" s="65"/>
      <c r="Y20" s="65"/>
      <c r="Z20" s="65"/>
      <c r="AA20" s="90"/>
      <c r="AB20" s="94"/>
      <c r="AC20" s="90"/>
    </row>
    <row r="21" spans="1:29" ht="30" customHeight="1">
      <c r="A21" s="102" t="s">
        <v>60</v>
      </c>
      <c r="B21" s="99"/>
      <c r="C21" s="103">
        <v>500000</v>
      </c>
      <c r="D21" s="101"/>
      <c r="E21" s="103">
        <v>499909375000</v>
      </c>
      <c r="F21" s="101"/>
      <c r="G21" s="103">
        <v>499909375000</v>
      </c>
      <c r="H21" s="101"/>
      <c r="I21" s="103">
        <f t="shared" si="1"/>
        <v>0</v>
      </c>
      <c r="J21" s="101"/>
      <c r="K21" s="103">
        <v>500000</v>
      </c>
      <c r="L21" s="101"/>
      <c r="M21" s="103">
        <v>499909375000</v>
      </c>
      <c r="N21" s="101"/>
      <c r="O21" s="103">
        <v>500000000000</v>
      </c>
      <c r="P21" s="101"/>
      <c r="Q21" s="254">
        <f t="shared" si="0"/>
        <v>-90625000</v>
      </c>
      <c r="R21" s="254"/>
      <c r="T21" s="92"/>
      <c r="U21" s="62"/>
      <c r="V21" s="62"/>
      <c r="W21" s="91"/>
      <c r="X21" s="90"/>
      <c r="Y21" s="90"/>
      <c r="Z21" s="90"/>
      <c r="AA21" s="90"/>
      <c r="AB21" s="94"/>
      <c r="AC21" s="90"/>
    </row>
    <row r="22" spans="1:29" ht="30" customHeight="1">
      <c r="A22" s="102" t="s">
        <v>273</v>
      </c>
      <c r="B22" s="99"/>
      <c r="C22" s="103">
        <v>239529</v>
      </c>
      <c r="D22" s="101"/>
      <c r="E22" s="103">
        <v>125059372680</v>
      </c>
      <c r="F22" s="101"/>
      <c r="G22" s="103">
        <v>125744335715</v>
      </c>
      <c r="H22" s="101"/>
      <c r="I22" s="96">
        <f t="shared" si="1"/>
        <v>-684963035</v>
      </c>
      <c r="J22" s="101"/>
      <c r="K22" s="103">
        <v>239529</v>
      </c>
      <c r="L22" s="101"/>
      <c r="M22" s="103">
        <v>125059372680</v>
      </c>
      <c r="N22" s="101"/>
      <c r="O22" s="103">
        <v>125741735067</v>
      </c>
      <c r="P22" s="101"/>
      <c r="Q22" s="254">
        <f t="shared" si="0"/>
        <v>-682362387</v>
      </c>
      <c r="R22" s="254"/>
    </row>
    <row r="23" spans="1:29" ht="30" customHeight="1">
      <c r="A23" s="102" t="s">
        <v>290</v>
      </c>
      <c r="B23" s="99"/>
      <c r="C23" s="103">
        <v>740000</v>
      </c>
      <c r="D23" s="101"/>
      <c r="E23" s="103">
        <v>9423795937</v>
      </c>
      <c r="F23" s="101"/>
      <c r="G23" s="103">
        <v>10023814152</v>
      </c>
      <c r="H23" s="101"/>
      <c r="I23" s="254">
        <f>E23-G23</f>
        <v>-600018215</v>
      </c>
      <c r="J23" s="254"/>
      <c r="K23" s="103">
        <v>740000</v>
      </c>
      <c r="L23" s="101"/>
      <c r="M23" s="103">
        <v>9423795937</v>
      </c>
      <c r="N23" s="101"/>
      <c r="O23" s="103">
        <v>10023814152</v>
      </c>
      <c r="P23" s="101"/>
      <c r="Q23" s="254">
        <v>-600018215</v>
      </c>
      <c r="R23" s="254"/>
    </row>
    <row r="24" spans="1:29" ht="30" customHeight="1">
      <c r="A24" s="102" t="s">
        <v>291</v>
      </c>
      <c r="B24" s="99"/>
      <c r="C24" s="103">
        <v>32347</v>
      </c>
      <c r="D24" s="101"/>
      <c r="E24" s="103">
        <v>4794917536</v>
      </c>
      <c r="F24" s="101"/>
      <c r="G24" s="103">
        <v>5381411665</v>
      </c>
      <c r="H24" s="101"/>
      <c r="I24" s="254">
        <f>E24-G24</f>
        <v>-586494129</v>
      </c>
      <c r="J24" s="254"/>
      <c r="K24" s="103">
        <v>32347</v>
      </c>
      <c r="L24" s="101"/>
      <c r="M24" s="103">
        <v>4794917536</v>
      </c>
      <c r="N24" s="101"/>
      <c r="O24" s="103">
        <v>5381411665</v>
      </c>
      <c r="P24" s="101"/>
      <c r="Q24" s="254">
        <v>-586494129</v>
      </c>
      <c r="R24" s="254"/>
    </row>
    <row r="25" spans="1:29" ht="30" customHeight="1">
      <c r="A25" s="102" t="s">
        <v>292</v>
      </c>
      <c r="B25" s="99"/>
      <c r="C25" s="103">
        <v>35121</v>
      </c>
      <c r="D25" s="101"/>
      <c r="E25" s="103">
        <v>4110240856</v>
      </c>
      <c r="F25" s="101"/>
      <c r="G25" s="103">
        <v>4540277251</v>
      </c>
      <c r="H25" s="101"/>
      <c r="I25" s="96">
        <f>E25-G25</f>
        <v>-430036395</v>
      </c>
      <c r="J25" s="101"/>
      <c r="K25" s="103">
        <v>35121</v>
      </c>
      <c r="L25" s="101"/>
      <c r="M25" s="103">
        <v>4110240856</v>
      </c>
      <c r="N25" s="101"/>
      <c r="O25" s="103">
        <v>4540277251</v>
      </c>
      <c r="P25" s="101"/>
      <c r="Q25" s="254">
        <v>-430036395</v>
      </c>
      <c r="R25" s="254"/>
    </row>
    <row r="26" spans="1:29" ht="30" customHeight="1">
      <c r="A26" s="102" t="s">
        <v>294</v>
      </c>
      <c r="B26" s="99"/>
      <c r="C26" s="103">
        <v>500000</v>
      </c>
      <c r="D26" s="101"/>
      <c r="E26" s="103">
        <v>499909375000</v>
      </c>
      <c r="F26" s="101"/>
      <c r="G26" s="103">
        <v>500000000000</v>
      </c>
      <c r="H26" s="101"/>
      <c r="I26" s="96">
        <f>E26-G26</f>
        <v>-90625000</v>
      </c>
      <c r="J26" s="101"/>
      <c r="K26" s="103">
        <v>500000</v>
      </c>
      <c r="L26" s="101"/>
      <c r="M26" s="103">
        <v>499909375000</v>
      </c>
      <c r="N26" s="101"/>
      <c r="O26" s="103">
        <v>500000000000</v>
      </c>
      <c r="P26" s="101"/>
      <c r="Q26" s="254">
        <f>M26-O26</f>
        <v>-90625000</v>
      </c>
      <c r="R26" s="254"/>
    </row>
    <row r="27" spans="1:29" ht="30" customHeight="1">
      <c r="A27" s="102" t="s">
        <v>293</v>
      </c>
      <c r="B27" s="99"/>
      <c r="C27" s="103">
        <v>71034</v>
      </c>
      <c r="D27" s="101"/>
      <c r="E27" s="103">
        <v>48542938997</v>
      </c>
      <c r="F27" s="101"/>
      <c r="G27" s="103">
        <v>48423097093</v>
      </c>
      <c r="H27" s="101"/>
      <c r="I27" s="104">
        <f>E27-G27</f>
        <v>119841904</v>
      </c>
      <c r="J27" s="101"/>
      <c r="K27" s="103">
        <v>71034</v>
      </c>
      <c r="L27" s="101"/>
      <c r="M27" s="103">
        <v>48542938997</v>
      </c>
      <c r="N27" s="101"/>
      <c r="O27" s="103">
        <v>48423097093</v>
      </c>
      <c r="P27" s="101"/>
      <c r="Q27" s="255">
        <f>M27-O27</f>
        <v>119841904</v>
      </c>
      <c r="R27" s="255"/>
    </row>
    <row r="28" spans="1:29" customFormat="1" ht="21.75" customHeight="1">
      <c r="A28" s="105" t="s">
        <v>295</v>
      </c>
      <c r="B28" s="106"/>
      <c r="C28" s="107">
        <v>58593750</v>
      </c>
      <c r="D28" s="106"/>
      <c r="E28" s="107">
        <v>58578662</v>
      </c>
      <c r="F28" s="106"/>
      <c r="G28" s="107">
        <v>58578662</v>
      </c>
      <c r="H28" s="106"/>
      <c r="I28" s="107">
        <v>0</v>
      </c>
      <c r="J28" s="106"/>
      <c r="K28" s="107">
        <v>58593750</v>
      </c>
      <c r="L28" s="106"/>
      <c r="M28" s="107">
        <v>58578662</v>
      </c>
      <c r="N28" s="106"/>
      <c r="O28" s="107">
        <v>58578662</v>
      </c>
      <c r="P28" s="106"/>
      <c r="Q28" s="270">
        <v>0</v>
      </c>
      <c r="R28" s="270"/>
    </row>
    <row r="29" spans="1:29" s="30" customFormat="1" ht="30" customHeight="1">
      <c r="A29" s="108" t="s">
        <v>14</v>
      </c>
      <c r="B29" s="109"/>
      <c r="C29" s="110">
        <f>SUM(C7:C28)</f>
        <v>125111658</v>
      </c>
      <c r="D29" s="111"/>
      <c r="E29" s="67">
        <f>SUM(E7:E28)</f>
        <v>3197257427613</v>
      </c>
      <c r="F29" s="111"/>
      <c r="G29" s="67">
        <f>SUM(G7:G28)</f>
        <v>3196817371929</v>
      </c>
      <c r="H29" s="111"/>
      <c r="I29" s="67">
        <f>SUM(I7:J28)</f>
        <v>440055684</v>
      </c>
      <c r="J29" s="111"/>
      <c r="K29" s="67">
        <f>SUM(K7:K28)</f>
        <v>125111658</v>
      </c>
      <c r="L29" s="111"/>
      <c r="M29" s="67">
        <f>SUM(M7:M28)</f>
        <v>3197257427612</v>
      </c>
      <c r="N29" s="111"/>
      <c r="O29" s="67">
        <f>SUM(O7:O28)</f>
        <v>3134655310775</v>
      </c>
      <c r="P29" s="111"/>
      <c r="Q29" s="269">
        <f>SUM(Q7:R28)</f>
        <v>62602116837</v>
      </c>
      <c r="R29" s="269"/>
      <c r="T29" s="95"/>
      <c r="U29" s="35"/>
      <c r="V29" s="35"/>
      <c r="W29" s="35"/>
      <c r="X29" s="35"/>
      <c r="Y29" s="35"/>
      <c r="Z29" s="35"/>
      <c r="AA29" s="35"/>
      <c r="AB29" s="35"/>
      <c r="AC29" s="35"/>
    </row>
    <row r="31" spans="1:29" ht="30" customHeight="1">
      <c r="M31" s="58"/>
      <c r="O31" s="58"/>
    </row>
  </sheetData>
  <mergeCells count="34">
    <mergeCell ref="I23:J23"/>
    <mergeCell ref="I24:J24"/>
    <mergeCell ref="Q23:R23"/>
    <mergeCell ref="Q24:R24"/>
    <mergeCell ref="Q25:R25"/>
    <mergeCell ref="Q14:R14"/>
    <mergeCell ref="Q15:R15"/>
    <mergeCell ref="Q16:R16"/>
    <mergeCell ref="Q29:R29"/>
    <mergeCell ref="Q17:R17"/>
    <mergeCell ref="Q18:R18"/>
    <mergeCell ref="Q19:R19"/>
    <mergeCell ref="Q20:R20"/>
    <mergeCell ref="Q21:R21"/>
    <mergeCell ref="Q22:R22"/>
    <mergeCell ref="Q26:R26"/>
    <mergeCell ref="Q27:R27"/>
    <mergeCell ref="Q28:R28"/>
    <mergeCell ref="I20:J20"/>
    <mergeCell ref="A1:Q1"/>
    <mergeCell ref="A2:R2"/>
    <mergeCell ref="A3:R3"/>
    <mergeCell ref="A4:R4"/>
    <mergeCell ref="A5:A6"/>
    <mergeCell ref="C5:I5"/>
    <mergeCell ref="K5:R5"/>
    <mergeCell ref="Q6:R6"/>
    <mergeCell ref="Q7:R7"/>
    <mergeCell ref="Q8:R8"/>
    <mergeCell ref="Q9:R9"/>
    <mergeCell ref="Q10:R10"/>
    <mergeCell ref="Q11:R11"/>
    <mergeCell ref="Q12:R12"/>
    <mergeCell ref="Q13:R13"/>
  </mergeCells>
  <pageMargins left="0.39" right="0.39" top="0.39" bottom="0.39" header="0" footer="0"/>
  <pageSetup scale="7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A58"/>
  <sheetViews>
    <sheetView rightToLeft="1" view="pageBreakPreview" zoomScale="50" zoomScaleNormal="100" zoomScaleSheetLayoutView="50" workbookViewId="0">
      <selection activeCell="I58" sqref="I58"/>
    </sheetView>
  </sheetViews>
  <sheetFormatPr defaultRowHeight="30" customHeight="1"/>
  <cols>
    <col min="1" max="1" width="28.5703125" style="20" bestFit="1" customWidth="1"/>
    <col min="2" max="2" width="1.28515625" style="20" customWidth="1"/>
    <col min="3" max="3" width="11.7109375" style="20" bestFit="1" customWidth="1"/>
    <col min="4" max="4" width="1.28515625" style="20" customWidth="1"/>
    <col min="5" max="5" width="16.85546875" style="20" bestFit="1" customWidth="1"/>
    <col min="6" max="6" width="1.28515625" style="20" customWidth="1"/>
    <col min="7" max="7" width="17" style="20" customWidth="1"/>
    <col min="8" max="8" width="1.28515625" style="20" customWidth="1"/>
    <col min="9" max="9" width="22" style="20" bestFit="1" customWidth="1"/>
    <col min="10" max="10" width="1.28515625" style="20" customWidth="1"/>
    <col min="11" max="11" width="13.7109375" style="20" customWidth="1"/>
    <col min="12" max="12" width="0.7109375" style="20" customWidth="1"/>
    <col min="13" max="13" width="20.5703125" style="20" bestFit="1" customWidth="1"/>
    <col min="14" max="14" width="1.28515625" style="20" customWidth="1"/>
    <col min="15" max="15" width="20.42578125" style="20" bestFit="1" customWidth="1"/>
    <col min="16" max="16" width="0.7109375" style="20" customWidth="1"/>
    <col min="17" max="17" width="20.7109375" style="20" customWidth="1"/>
    <col min="18" max="18" width="1.28515625" style="20" customWidth="1"/>
    <col min="19" max="19" width="0.28515625" style="20" customWidth="1"/>
    <col min="20" max="20" width="9.140625" style="20"/>
    <col min="21" max="21" width="14.7109375" style="20" bestFit="1" customWidth="1"/>
    <col min="22" max="22" width="9.85546875" style="20" bestFit="1" customWidth="1"/>
    <col min="23" max="23" width="15.85546875" style="20" bestFit="1" customWidth="1"/>
    <col min="24" max="24" width="15.85546875" style="20" customWidth="1"/>
    <col min="25" max="25" width="10.85546875" style="20" customWidth="1"/>
    <col min="26" max="26" width="12.28515625" style="20" customWidth="1"/>
    <col min="27" max="27" width="14" style="20" bestFit="1" customWidth="1"/>
    <col min="28" max="16384" width="9.140625" style="20"/>
  </cols>
  <sheetData>
    <row r="1" spans="1:27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</row>
    <row r="2" spans="1:27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</row>
    <row r="3" spans="1:27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1:27" s="21" customFormat="1" ht="30" customHeight="1">
      <c r="A4" s="221" t="s">
        <v>230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27" ht="25.5" customHeight="1">
      <c r="A5" s="223" t="s">
        <v>118</v>
      </c>
      <c r="C5" s="223" t="s">
        <v>128</v>
      </c>
      <c r="D5" s="223"/>
      <c r="E5" s="223"/>
      <c r="F5" s="223"/>
      <c r="G5" s="223"/>
      <c r="H5" s="223"/>
      <c r="I5" s="223"/>
      <c r="K5" s="223" t="str">
        <f>'درآمد سرمایه گذاری در سهام'!$N$5</f>
        <v>از ابتدای سال مالی تا پایان ماه</v>
      </c>
      <c r="L5" s="223"/>
      <c r="M5" s="223"/>
      <c r="N5" s="223"/>
      <c r="O5" s="223"/>
      <c r="P5" s="223"/>
      <c r="Q5" s="223"/>
      <c r="R5" s="223"/>
    </row>
    <row r="6" spans="1:27" ht="27.75" customHeight="1">
      <c r="A6" s="223"/>
      <c r="C6" s="7" t="s">
        <v>6</v>
      </c>
      <c r="D6" s="37"/>
      <c r="E6" s="7" t="s">
        <v>231</v>
      </c>
      <c r="F6" s="37"/>
      <c r="G6" s="7" t="s">
        <v>232</v>
      </c>
      <c r="H6" s="37"/>
      <c r="I6" s="7" t="s">
        <v>233</v>
      </c>
      <c r="K6" s="7" t="s">
        <v>6</v>
      </c>
      <c r="L6" s="37"/>
      <c r="M6" s="7" t="s">
        <v>231</v>
      </c>
      <c r="N6" s="37"/>
      <c r="O6" s="7" t="s">
        <v>232</v>
      </c>
      <c r="P6" s="37"/>
      <c r="Q6" s="245" t="s">
        <v>233</v>
      </c>
      <c r="R6" s="245"/>
      <c r="T6" s="271"/>
      <c r="U6" s="271"/>
      <c r="V6" s="271"/>
      <c r="W6" s="61"/>
      <c r="X6" s="61"/>
      <c r="Y6" s="61"/>
      <c r="Z6" s="61"/>
      <c r="AA6" s="61"/>
    </row>
    <row r="7" spans="1:27" ht="30" customHeight="1">
      <c r="A7" s="3" t="s">
        <v>38</v>
      </c>
      <c r="C7" s="14">
        <v>0</v>
      </c>
      <c r="D7" s="50"/>
      <c r="E7" s="14">
        <v>0</v>
      </c>
      <c r="F7" s="50"/>
      <c r="G7" s="14">
        <v>0</v>
      </c>
      <c r="H7" s="50"/>
      <c r="I7" s="14">
        <v>0</v>
      </c>
      <c r="J7" s="50"/>
      <c r="K7" s="13">
        <v>30611719</v>
      </c>
      <c r="L7" s="50"/>
      <c r="M7" s="13">
        <v>372077390821</v>
      </c>
      <c r="N7" s="50"/>
      <c r="O7" s="13">
        <v>361086195147</v>
      </c>
      <c r="P7" s="50"/>
      <c r="Q7" s="274">
        <v>10991195674</v>
      </c>
      <c r="R7" s="274"/>
      <c r="T7" s="62"/>
      <c r="U7" s="62"/>
      <c r="V7" s="62"/>
      <c r="W7" s="62"/>
      <c r="X7" s="62"/>
      <c r="Y7" s="62"/>
      <c r="Z7" s="62"/>
      <c r="AA7" s="62"/>
    </row>
    <row r="8" spans="1:27" ht="29.25" customHeight="1">
      <c r="A8" s="5" t="s">
        <v>40</v>
      </c>
      <c r="C8" s="14">
        <v>0</v>
      </c>
      <c r="D8" s="50"/>
      <c r="E8" s="14">
        <v>0</v>
      </c>
      <c r="F8" s="50"/>
      <c r="G8" s="14">
        <v>0</v>
      </c>
      <c r="H8" s="50"/>
      <c r="I8" s="14">
        <v>0</v>
      </c>
      <c r="J8" s="50"/>
      <c r="K8" s="14">
        <v>30110937</v>
      </c>
      <c r="L8" s="50"/>
      <c r="M8" s="14">
        <v>505271518735</v>
      </c>
      <c r="N8" s="50"/>
      <c r="O8" s="14">
        <v>491739426469</v>
      </c>
      <c r="P8" s="50"/>
      <c r="Q8" s="273">
        <v>13532092266</v>
      </c>
      <c r="R8" s="273"/>
      <c r="T8" s="63"/>
      <c r="U8" s="64"/>
      <c r="V8" s="65"/>
      <c r="W8" s="65"/>
      <c r="X8" s="65"/>
      <c r="Y8" s="63"/>
      <c r="Z8" s="63"/>
      <c r="AA8" s="65"/>
    </row>
    <row r="9" spans="1:27" ht="30" customHeight="1">
      <c r="A9" s="5" t="s">
        <v>12</v>
      </c>
      <c r="C9" s="14">
        <v>0</v>
      </c>
      <c r="D9" s="50"/>
      <c r="E9" s="14">
        <v>0</v>
      </c>
      <c r="F9" s="50"/>
      <c r="G9" s="14">
        <v>0</v>
      </c>
      <c r="H9" s="50"/>
      <c r="I9" s="14">
        <v>0</v>
      </c>
      <c r="J9" s="50"/>
      <c r="K9" s="14">
        <v>4894670</v>
      </c>
      <c r="L9" s="50"/>
      <c r="M9" s="14">
        <v>9124213294</v>
      </c>
      <c r="N9" s="50"/>
      <c r="O9" s="14">
        <v>13868873312</v>
      </c>
      <c r="P9" s="50"/>
      <c r="Q9" s="275">
        <v>-4744660018</v>
      </c>
      <c r="R9" s="275"/>
      <c r="T9" s="63"/>
      <c r="U9" s="64"/>
      <c r="V9" s="65"/>
      <c r="W9" s="65"/>
      <c r="X9" s="65"/>
      <c r="Y9" s="65"/>
      <c r="Z9" s="63"/>
      <c r="AA9" s="65"/>
    </row>
    <row r="10" spans="1:27" ht="30" customHeight="1">
      <c r="A10" s="5" t="s">
        <v>37</v>
      </c>
      <c r="C10" s="14">
        <v>0</v>
      </c>
      <c r="D10" s="50"/>
      <c r="E10" s="14">
        <v>0</v>
      </c>
      <c r="F10" s="50"/>
      <c r="G10" s="14">
        <v>0</v>
      </c>
      <c r="H10" s="50"/>
      <c r="I10" s="14">
        <v>0</v>
      </c>
      <c r="J10" s="50"/>
      <c r="K10" s="14">
        <v>2978554</v>
      </c>
      <c r="L10" s="50"/>
      <c r="M10" s="14">
        <v>30863776548</v>
      </c>
      <c r="N10" s="50"/>
      <c r="O10" s="14">
        <v>29999995888</v>
      </c>
      <c r="P10" s="50"/>
      <c r="Q10" s="273">
        <v>863780660</v>
      </c>
      <c r="R10" s="273"/>
      <c r="T10" s="63"/>
      <c r="U10" s="64"/>
      <c r="V10" s="63"/>
      <c r="W10" s="65"/>
      <c r="X10" s="65"/>
      <c r="Y10" s="65"/>
      <c r="Z10" s="65"/>
      <c r="AA10" s="65"/>
    </row>
    <row r="11" spans="1:27" ht="30" customHeight="1">
      <c r="A11" s="5" t="s">
        <v>146</v>
      </c>
      <c r="C11" s="14">
        <v>0</v>
      </c>
      <c r="D11" s="50"/>
      <c r="E11" s="14">
        <v>0</v>
      </c>
      <c r="F11" s="50"/>
      <c r="G11" s="14">
        <v>0</v>
      </c>
      <c r="H11" s="50"/>
      <c r="I11" s="14">
        <v>0</v>
      </c>
      <c r="J11" s="50"/>
      <c r="K11" s="14">
        <v>2000000</v>
      </c>
      <c r="L11" s="50"/>
      <c r="M11" s="14">
        <v>20956809051</v>
      </c>
      <c r="N11" s="50"/>
      <c r="O11" s="14">
        <v>20023200000</v>
      </c>
      <c r="P11" s="50"/>
      <c r="Q11" s="273">
        <v>933609051</v>
      </c>
      <c r="R11" s="273"/>
      <c r="T11" s="63"/>
      <c r="U11" s="64"/>
      <c r="V11" s="63"/>
      <c r="W11" s="65"/>
      <c r="X11" s="65"/>
      <c r="Y11" s="63"/>
      <c r="Z11" s="65"/>
      <c r="AA11" s="65"/>
    </row>
    <row r="12" spans="1:27" ht="30" customHeight="1">
      <c r="A12" s="5" t="s">
        <v>133</v>
      </c>
      <c r="C12" s="14">
        <v>0</v>
      </c>
      <c r="D12" s="50"/>
      <c r="E12" s="14">
        <v>0</v>
      </c>
      <c r="F12" s="50"/>
      <c r="G12" s="14">
        <v>0</v>
      </c>
      <c r="H12" s="50"/>
      <c r="I12" s="14">
        <v>0</v>
      </c>
      <c r="J12" s="50"/>
      <c r="K12" s="14">
        <v>59</v>
      </c>
      <c r="L12" s="50"/>
      <c r="M12" s="14">
        <v>1765336</v>
      </c>
      <c r="N12" s="50"/>
      <c r="O12" s="14">
        <v>1214080</v>
      </c>
      <c r="P12" s="50"/>
      <c r="Q12" s="273">
        <v>551256</v>
      </c>
      <c r="R12" s="273"/>
      <c r="T12" s="63"/>
      <c r="U12" s="64"/>
      <c r="V12" s="65"/>
      <c r="W12" s="65"/>
      <c r="X12" s="65"/>
      <c r="Y12" s="65"/>
      <c r="Z12" s="65"/>
      <c r="AA12" s="65"/>
    </row>
    <row r="13" spans="1:27" ht="30" customHeight="1">
      <c r="A13" s="5" t="s">
        <v>134</v>
      </c>
      <c r="C13" s="14">
        <v>0</v>
      </c>
      <c r="D13" s="50"/>
      <c r="E13" s="14">
        <v>0</v>
      </c>
      <c r="F13" s="50"/>
      <c r="G13" s="14">
        <v>0</v>
      </c>
      <c r="H13" s="50"/>
      <c r="I13" s="14">
        <v>0</v>
      </c>
      <c r="J13" s="50"/>
      <c r="K13" s="14">
        <v>140</v>
      </c>
      <c r="L13" s="50"/>
      <c r="M13" s="14">
        <v>900413</v>
      </c>
      <c r="N13" s="50"/>
      <c r="O13" s="14">
        <v>1189257</v>
      </c>
      <c r="P13" s="50"/>
      <c r="Q13" s="275">
        <v>-288844</v>
      </c>
      <c r="R13" s="275"/>
      <c r="T13" s="63"/>
      <c r="U13" s="64"/>
      <c r="V13" s="65"/>
      <c r="W13" s="65"/>
      <c r="X13" s="65"/>
      <c r="Y13" s="65"/>
      <c r="Z13" s="65"/>
      <c r="AA13" s="65"/>
    </row>
    <row r="14" spans="1:27" ht="30" customHeight="1">
      <c r="A14" s="5" t="s">
        <v>135</v>
      </c>
      <c r="C14" s="14">
        <v>0</v>
      </c>
      <c r="D14" s="50"/>
      <c r="E14" s="14">
        <v>0</v>
      </c>
      <c r="F14" s="50"/>
      <c r="G14" s="14">
        <v>0</v>
      </c>
      <c r="H14" s="50"/>
      <c r="I14" s="14">
        <v>0</v>
      </c>
      <c r="J14" s="50"/>
      <c r="K14" s="14">
        <v>1368920</v>
      </c>
      <c r="L14" s="50"/>
      <c r="M14" s="14">
        <v>3405278961</v>
      </c>
      <c r="N14" s="50"/>
      <c r="O14" s="14">
        <v>2978736313</v>
      </c>
      <c r="P14" s="50"/>
      <c r="Q14" s="273">
        <v>426542648</v>
      </c>
      <c r="R14" s="273"/>
      <c r="T14" s="63"/>
      <c r="U14" s="64"/>
      <c r="V14" s="63"/>
      <c r="W14" s="65"/>
      <c r="X14" s="65"/>
      <c r="Y14" s="65"/>
      <c r="Z14" s="65"/>
      <c r="AA14" s="65"/>
    </row>
    <row r="15" spans="1:27" ht="30" customHeight="1">
      <c r="A15" s="5" t="s">
        <v>136</v>
      </c>
      <c r="C15" s="14">
        <v>0</v>
      </c>
      <c r="D15" s="50"/>
      <c r="E15" s="14">
        <v>0</v>
      </c>
      <c r="F15" s="50"/>
      <c r="G15" s="14">
        <v>0</v>
      </c>
      <c r="H15" s="50"/>
      <c r="I15" s="14">
        <v>0</v>
      </c>
      <c r="J15" s="50"/>
      <c r="K15" s="14">
        <v>19612335</v>
      </c>
      <c r="L15" s="50"/>
      <c r="M15" s="14">
        <v>120967529464</v>
      </c>
      <c r="N15" s="50"/>
      <c r="O15" s="14">
        <v>114717346200</v>
      </c>
      <c r="P15" s="50"/>
      <c r="Q15" s="273">
        <v>6250183264</v>
      </c>
      <c r="R15" s="273"/>
      <c r="T15" s="63"/>
      <c r="U15" s="64"/>
      <c r="V15" s="65"/>
      <c r="W15" s="65"/>
      <c r="X15" s="65"/>
      <c r="Y15" s="63"/>
      <c r="Z15" s="63"/>
      <c r="AA15" s="65"/>
    </row>
    <row r="16" spans="1:27" ht="30" customHeight="1">
      <c r="A16" s="5" t="s">
        <v>137</v>
      </c>
      <c r="C16" s="14">
        <v>0</v>
      </c>
      <c r="D16" s="50"/>
      <c r="E16" s="14">
        <v>0</v>
      </c>
      <c r="F16" s="50"/>
      <c r="G16" s="14">
        <v>0</v>
      </c>
      <c r="H16" s="50"/>
      <c r="I16" s="14">
        <v>0</v>
      </c>
      <c r="J16" s="50"/>
      <c r="K16" s="14">
        <v>704</v>
      </c>
      <c r="L16" s="50"/>
      <c r="M16" s="14">
        <v>2279288</v>
      </c>
      <c r="N16" s="50"/>
      <c r="O16" s="14">
        <v>1738342</v>
      </c>
      <c r="P16" s="50"/>
      <c r="Q16" s="273">
        <v>540946</v>
      </c>
      <c r="R16" s="273"/>
      <c r="T16" s="63"/>
      <c r="U16" s="64"/>
      <c r="V16" s="65"/>
      <c r="W16" s="65"/>
      <c r="X16" s="65"/>
      <c r="Y16" s="65"/>
      <c r="Z16" s="65"/>
      <c r="AA16" s="65"/>
    </row>
    <row r="17" spans="1:27" ht="30" customHeight="1">
      <c r="A17" s="5" t="s">
        <v>138</v>
      </c>
      <c r="C17" s="14">
        <v>0</v>
      </c>
      <c r="D17" s="50"/>
      <c r="E17" s="14">
        <v>0</v>
      </c>
      <c r="F17" s="50"/>
      <c r="G17" s="14">
        <v>0</v>
      </c>
      <c r="H17" s="50"/>
      <c r="I17" s="14">
        <v>0</v>
      </c>
      <c r="J17" s="50"/>
      <c r="K17" s="14">
        <v>39</v>
      </c>
      <c r="L17" s="50"/>
      <c r="M17" s="14">
        <v>986647</v>
      </c>
      <c r="N17" s="50"/>
      <c r="O17" s="14">
        <v>745534</v>
      </c>
      <c r="P17" s="50"/>
      <c r="Q17" s="273">
        <v>241113</v>
      </c>
      <c r="R17" s="273"/>
      <c r="T17" s="63"/>
      <c r="U17" s="64"/>
      <c r="V17" s="63"/>
      <c r="W17" s="65"/>
      <c r="X17" s="65"/>
      <c r="Y17" s="63"/>
      <c r="Z17" s="65"/>
      <c r="AA17" s="65"/>
    </row>
    <row r="18" spans="1:27" ht="30" customHeight="1">
      <c r="A18" s="5" t="s">
        <v>147</v>
      </c>
      <c r="C18" s="14">
        <v>0</v>
      </c>
      <c r="D18" s="50"/>
      <c r="E18" s="14">
        <v>0</v>
      </c>
      <c r="F18" s="50"/>
      <c r="G18" s="14">
        <v>0</v>
      </c>
      <c r="H18" s="50"/>
      <c r="I18" s="14">
        <v>0</v>
      </c>
      <c r="J18" s="50"/>
      <c r="K18" s="14">
        <v>4937294</v>
      </c>
      <c r="L18" s="50"/>
      <c r="M18" s="14">
        <v>52754986390</v>
      </c>
      <c r="N18" s="50"/>
      <c r="O18" s="14">
        <v>51639137946</v>
      </c>
      <c r="P18" s="50"/>
      <c r="Q18" s="273">
        <v>1115848444</v>
      </c>
      <c r="R18" s="273"/>
      <c r="T18" s="63"/>
      <c r="U18" s="64"/>
      <c r="V18" s="65"/>
      <c r="W18" s="65"/>
      <c r="X18" s="65"/>
      <c r="Y18" s="63"/>
      <c r="Z18" s="63"/>
      <c r="AA18" s="65"/>
    </row>
    <row r="19" spans="1:27" ht="30" customHeight="1">
      <c r="A19" s="5" t="s">
        <v>139</v>
      </c>
      <c r="C19" s="14">
        <v>0</v>
      </c>
      <c r="D19" s="50"/>
      <c r="E19" s="14">
        <v>0</v>
      </c>
      <c r="F19" s="50"/>
      <c r="G19" s="14">
        <v>0</v>
      </c>
      <c r="H19" s="50"/>
      <c r="I19" s="14">
        <v>0</v>
      </c>
      <c r="J19" s="50"/>
      <c r="K19" s="14">
        <v>197</v>
      </c>
      <c r="L19" s="50"/>
      <c r="M19" s="14">
        <v>2326437</v>
      </c>
      <c r="N19" s="50"/>
      <c r="O19" s="14">
        <v>1697707</v>
      </c>
      <c r="P19" s="50"/>
      <c r="Q19" s="273">
        <v>628730</v>
      </c>
      <c r="R19" s="273"/>
      <c r="T19" s="63"/>
      <c r="U19" s="64"/>
      <c r="V19" s="65"/>
      <c r="W19" s="65"/>
      <c r="X19" s="65"/>
      <c r="Y19" s="63"/>
      <c r="Z19" s="63"/>
      <c r="AA19" s="65"/>
    </row>
    <row r="20" spans="1:27" ht="30" customHeight="1">
      <c r="A20" s="5" t="s">
        <v>140</v>
      </c>
      <c r="C20" s="14">
        <v>0</v>
      </c>
      <c r="D20" s="50"/>
      <c r="E20" s="14">
        <v>0</v>
      </c>
      <c r="F20" s="50"/>
      <c r="G20" s="14">
        <v>0</v>
      </c>
      <c r="H20" s="50"/>
      <c r="I20" s="14">
        <v>0</v>
      </c>
      <c r="J20" s="50"/>
      <c r="K20" s="14">
        <v>602307</v>
      </c>
      <c r="L20" s="50"/>
      <c r="M20" s="14">
        <v>1733141822</v>
      </c>
      <c r="N20" s="50"/>
      <c r="O20" s="14">
        <v>1849456191</v>
      </c>
      <c r="P20" s="50"/>
      <c r="Q20" s="275">
        <v>-116314369</v>
      </c>
      <c r="R20" s="275"/>
      <c r="T20" s="63"/>
      <c r="U20" s="64"/>
      <c r="V20" s="63"/>
      <c r="W20" s="65"/>
      <c r="X20" s="65"/>
      <c r="Y20" s="65"/>
      <c r="Z20" s="65"/>
      <c r="AA20" s="65"/>
    </row>
    <row r="21" spans="1:27" ht="30" customHeight="1">
      <c r="A21" s="5" t="s">
        <v>148</v>
      </c>
      <c r="C21" s="14">
        <v>0</v>
      </c>
      <c r="D21" s="50"/>
      <c r="E21" s="14">
        <v>0</v>
      </c>
      <c r="F21" s="50"/>
      <c r="G21" s="14">
        <v>0</v>
      </c>
      <c r="H21" s="50"/>
      <c r="I21" s="14">
        <v>0</v>
      </c>
      <c r="J21" s="50"/>
      <c r="K21" s="14">
        <v>6000</v>
      </c>
      <c r="L21" s="50"/>
      <c r="M21" s="14">
        <v>60853838</v>
      </c>
      <c r="N21" s="50"/>
      <c r="O21" s="14">
        <v>60682307</v>
      </c>
      <c r="P21" s="50"/>
      <c r="Q21" s="273">
        <v>171531</v>
      </c>
      <c r="R21" s="273"/>
      <c r="T21" s="63"/>
      <c r="U21" s="64"/>
      <c r="V21" s="65"/>
      <c r="W21" s="65"/>
      <c r="X21" s="65"/>
      <c r="Y21" s="65"/>
      <c r="Z21" s="65"/>
      <c r="AA21" s="65"/>
    </row>
    <row r="22" spans="1:27" ht="30" customHeight="1">
      <c r="A22" s="5" t="s">
        <v>141</v>
      </c>
      <c r="C22" s="14">
        <v>0</v>
      </c>
      <c r="D22" s="50"/>
      <c r="E22" s="14">
        <v>0</v>
      </c>
      <c r="F22" s="50"/>
      <c r="G22" s="14">
        <v>0</v>
      </c>
      <c r="H22" s="50"/>
      <c r="I22" s="14">
        <v>0</v>
      </c>
      <c r="J22" s="50"/>
      <c r="K22" s="14">
        <v>3528294</v>
      </c>
      <c r="L22" s="50"/>
      <c r="M22" s="14">
        <v>49470528124</v>
      </c>
      <c r="N22" s="50"/>
      <c r="O22" s="14">
        <v>78914264640</v>
      </c>
      <c r="P22" s="50"/>
      <c r="Q22" s="275">
        <v>-29443736516</v>
      </c>
      <c r="R22" s="275"/>
      <c r="T22" s="63"/>
      <c r="U22" s="64"/>
      <c r="V22" s="65"/>
      <c r="W22" s="65"/>
      <c r="X22" s="65"/>
      <c r="Y22" s="65"/>
      <c r="Z22" s="63"/>
      <c r="AA22" s="65"/>
    </row>
    <row r="23" spans="1:27" ht="30" customHeight="1">
      <c r="A23" s="5" t="s">
        <v>142</v>
      </c>
      <c r="C23" s="14">
        <v>0</v>
      </c>
      <c r="D23" s="50"/>
      <c r="E23" s="14">
        <v>0</v>
      </c>
      <c r="F23" s="50"/>
      <c r="G23" s="14">
        <v>0</v>
      </c>
      <c r="H23" s="50"/>
      <c r="I23" s="14">
        <v>0</v>
      </c>
      <c r="J23" s="50"/>
      <c r="K23" s="14">
        <v>1362822</v>
      </c>
      <c r="L23" s="50"/>
      <c r="M23" s="14">
        <v>5612183317</v>
      </c>
      <c r="N23" s="50"/>
      <c r="O23" s="14">
        <v>6990320158</v>
      </c>
      <c r="P23" s="50"/>
      <c r="Q23" s="275">
        <v>-1378136841</v>
      </c>
      <c r="R23" s="275"/>
      <c r="T23" s="63"/>
      <c r="U23" s="64"/>
      <c r="V23" s="65"/>
      <c r="W23" s="65"/>
      <c r="X23" s="65"/>
      <c r="Y23" s="65"/>
      <c r="Z23" s="65"/>
      <c r="AA23" s="65"/>
    </row>
    <row r="24" spans="1:27" ht="30" customHeight="1">
      <c r="A24" s="5" t="s">
        <v>143</v>
      </c>
      <c r="C24" s="14">
        <v>0</v>
      </c>
      <c r="D24" s="50"/>
      <c r="E24" s="14">
        <v>0</v>
      </c>
      <c r="F24" s="50"/>
      <c r="G24" s="14">
        <v>0</v>
      </c>
      <c r="H24" s="50"/>
      <c r="I24" s="14">
        <v>0</v>
      </c>
      <c r="J24" s="50"/>
      <c r="K24" s="14">
        <v>29</v>
      </c>
      <c r="L24" s="50"/>
      <c r="M24" s="14">
        <v>2531053</v>
      </c>
      <c r="N24" s="50"/>
      <c r="O24" s="14">
        <v>1906244</v>
      </c>
      <c r="P24" s="50"/>
      <c r="Q24" s="273">
        <v>624809</v>
      </c>
      <c r="R24" s="273"/>
      <c r="T24" s="63"/>
      <c r="U24" s="64"/>
      <c r="V24" s="65"/>
      <c r="W24" s="65"/>
      <c r="X24" s="65"/>
      <c r="Y24" s="65"/>
      <c r="Z24" s="65"/>
      <c r="AA24" s="65"/>
    </row>
    <row r="25" spans="1:27" ht="30" customHeight="1">
      <c r="A25" s="5" t="s">
        <v>144</v>
      </c>
      <c r="C25" s="14">
        <v>0</v>
      </c>
      <c r="D25" s="50"/>
      <c r="E25" s="14">
        <v>0</v>
      </c>
      <c r="F25" s="50"/>
      <c r="G25" s="14">
        <v>0</v>
      </c>
      <c r="H25" s="50"/>
      <c r="I25" s="14">
        <v>0</v>
      </c>
      <c r="J25" s="50"/>
      <c r="K25" s="14">
        <v>401642</v>
      </c>
      <c r="L25" s="50"/>
      <c r="M25" s="14">
        <v>2571544617</v>
      </c>
      <c r="N25" s="50"/>
      <c r="O25" s="14">
        <v>2758832909</v>
      </c>
      <c r="P25" s="50"/>
      <c r="Q25" s="275">
        <v>-187288292</v>
      </c>
      <c r="R25" s="275"/>
      <c r="T25" s="63"/>
      <c r="U25" s="64"/>
      <c r="V25" s="63"/>
      <c r="W25" s="65"/>
      <c r="X25" s="65"/>
      <c r="Y25" s="65"/>
      <c r="Z25" s="65"/>
      <c r="AA25" s="65"/>
    </row>
    <row r="26" spans="1:27" ht="30" customHeight="1">
      <c r="A26" s="5" t="s">
        <v>145</v>
      </c>
      <c r="C26" s="14">
        <v>0</v>
      </c>
      <c r="D26" s="50"/>
      <c r="E26" s="14">
        <v>0</v>
      </c>
      <c r="F26" s="50"/>
      <c r="G26" s="14">
        <v>0</v>
      </c>
      <c r="H26" s="50"/>
      <c r="I26" s="14">
        <v>0</v>
      </c>
      <c r="J26" s="50"/>
      <c r="K26" s="14">
        <v>639706</v>
      </c>
      <c r="L26" s="50"/>
      <c r="M26" s="14">
        <v>7002293157</v>
      </c>
      <c r="N26" s="50"/>
      <c r="O26" s="14">
        <v>8819929522</v>
      </c>
      <c r="P26" s="50"/>
      <c r="Q26" s="275">
        <v>-1817636365</v>
      </c>
      <c r="R26" s="275"/>
      <c r="T26" s="63"/>
      <c r="U26" s="64"/>
      <c r="V26" s="65"/>
      <c r="W26" s="65"/>
      <c r="X26" s="65"/>
      <c r="Y26" s="65"/>
      <c r="Z26" s="65"/>
      <c r="AA26" s="65"/>
    </row>
    <row r="27" spans="1:27" ht="30" customHeight="1">
      <c r="A27" s="5" t="s">
        <v>66</v>
      </c>
      <c r="C27" s="14">
        <v>0</v>
      </c>
      <c r="D27" s="50"/>
      <c r="E27" s="14">
        <v>0</v>
      </c>
      <c r="F27" s="50"/>
      <c r="G27" s="14">
        <v>0</v>
      </c>
      <c r="H27" s="50"/>
      <c r="I27" s="14">
        <v>0</v>
      </c>
      <c r="J27" s="50"/>
      <c r="K27" s="14">
        <v>500000</v>
      </c>
      <c r="L27" s="50"/>
      <c r="M27" s="14">
        <v>499770000000</v>
      </c>
      <c r="N27" s="50"/>
      <c r="O27" s="14">
        <v>514906656250</v>
      </c>
      <c r="P27" s="50"/>
      <c r="Q27" s="275">
        <v>-15136656250</v>
      </c>
      <c r="R27" s="275"/>
      <c r="T27" s="63"/>
      <c r="U27" s="64"/>
      <c r="V27" s="65"/>
      <c r="W27" s="65"/>
      <c r="X27" s="65"/>
      <c r="Y27" s="65"/>
      <c r="Z27" s="65"/>
      <c r="AA27" s="65"/>
    </row>
    <row r="28" spans="1:27" ht="30" customHeight="1">
      <c r="A28" s="5" t="s">
        <v>151</v>
      </c>
      <c r="C28" s="14">
        <v>0</v>
      </c>
      <c r="D28" s="50"/>
      <c r="E28" s="14">
        <v>0</v>
      </c>
      <c r="F28" s="50"/>
      <c r="G28" s="14">
        <v>0</v>
      </c>
      <c r="H28" s="50"/>
      <c r="I28" s="14">
        <v>0</v>
      </c>
      <c r="J28" s="50"/>
      <c r="K28" s="14">
        <v>279800</v>
      </c>
      <c r="L28" s="50"/>
      <c r="M28" s="14">
        <v>279779911250</v>
      </c>
      <c r="N28" s="50"/>
      <c r="O28" s="14">
        <v>279749286250</v>
      </c>
      <c r="P28" s="50"/>
      <c r="Q28" s="273">
        <v>30625000</v>
      </c>
      <c r="R28" s="273"/>
      <c r="T28" s="272"/>
      <c r="U28" s="272"/>
      <c r="V28" s="60"/>
      <c r="W28" s="65"/>
      <c r="X28" s="65"/>
      <c r="Y28" s="65"/>
      <c r="Z28" s="65"/>
      <c r="AA28" s="65"/>
    </row>
    <row r="29" spans="1:27" ht="30" customHeight="1">
      <c r="A29" s="5" t="s">
        <v>152</v>
      </c>
      <c r="C29" s="14">
        <v>0</v>
      </c>
      <c r="D29" s="50"/>
      <c r="E29" s="14">
        <v>0</v>
      </c>
      <c r="F29" s="50"/>
      <c r="G29" s="14">
        <v>0</v>
      </c>
      <c r="H29" s="50"/>
      <c r="I29" s="14">
        <v>0</v>
      </c>
      <c r="J29" s="50"/>
      <c r="K29" s="14">
        <v>100000</v>
      </c>
      <c r="L29" s="50"/>
      <c r="M29" s="14">
        <v>99984375000</v>
      </c>
      <c r="N29" s="50"/>
      <c r="O29" s="14">
        <v>99981875000</v>
      </c>
      <c r="P29" s="50"/>
      <c r="Q29" s="273">
        <v>2500000</v>
      </c>
      <c r="R29" s="273"/>
    </row>
    <row r="30" spans="1:27" ht="30" customHeight="1">
      <c r="A30" s="5" t="s">
        <v>153</v>
      </c>
      <c r="C30" s="14">
        <v>0</v>
      </c>
      <c r="D30" s="50"/>
      <c r="E30" s="14">
        <v>0</v>
      </c>
      <c r="F30" s="50"/>
      <c r="G30" s="14">
        <v>0</v>
      </c>
      <c r="H30" s="50"/>
      <c r="I30" s="14">
        <v>0</v>
      </c>
      <c r="J30" s="50"/>
      <c r="K30" s="14">
        <v>335000</v>
      </c>
      <c r="L30" s="50"/>
      <c r="M30" s="14">
        <v>334645408345</v>
      </c>
      <c r="N30" s="50"/>
      <c r="O30" s="14">
        <v>329689777894</v>
      </c>
      <c r="P30" s="50"/>
      <c r="Q30" s="273">
        <v>4955630451</v>
      </c>
      <c r="R30" s="273"/>
    </row>
    <row r="31" spans="1:27" ht="30" customHeight="1">
      <c r="A31" s="5" t="s">
        <v>154</v>
      </c>
      <c r="C31" s="14">
        <v>0</v>
      </c>
      <c r="D31" s="50"/>
      <c r="E31" s="14">
        <v>0</v>
      </c>
      <c r="F31" s="50"/>
      <c r="G31" s="14">
        <v>0</v>
      </c>
      <c r="H31" s="50"/>
      <c r="I31" s="14">
        <v>0</v>
      </c>
      <c r="J31" s="50"/>
      <c r="K31" s="14">
        <v>1593376</v>
      </c>
      <c r="L31" s="50"/>
      <c r="M31" s="14">
        <v>1407489233039</v>
      </c>
      <c r="N31" s="50"/>
      <c r="O31" s="14">
        <v>1405236353817</v>
      </c>
      <c r="P31" s="50"/>
      <c r="Q31" s="273">
        <v>2252879222</v>
      </c>
      <c r="R31" s="273"/>
    </row>
    <row r="32" spans="1:27" ht="30" customHeight="1">
      <c r="A32" s="5" t="s">
        <v>155</v>
      </c>
      <c r="C32" s="14">
        <v>0</v>
      </c>
      <c r="D32" s="50"/>
      <c r="E32" s="14">
        <v>0</v>
      </c>
      <c r="F32" s="50"/>
      <c r="G32" s="14">
        <v>0</v>
      </c>
      <c r="H32" s="50"/>
      <c r="I32" s="14">
        <v>0</v>
      </c>
      <c r="J32" s="50"/>
      <c r="K32" s="14">
        <v>5550519</v>
      </c>
      <c r="L32" s="50"/>
      <c r="M32" s="14">
        <v>4702336597357</v>
      </c>
      <c r="N32" s="50"/>
      <c r="O32" s="14">
        <v>4697822981527</v>
      </c>
      <c r="P32" s="50"/>
      <c r="Q32" s="273">
        <v>4513615830</v>
      </c>
      <c r="R32" s="273"/>
    </row>
    <row r="33" spans="1:18" ht="30" customHeight="1">
      <c r="A33" s="5" t="s">
        <v>156</v>
      </c>
      <c r="C33" s="14">
        <v>0</v>
      </c>
      <c r="D33" s="50"/>
      <c r="E33" s="14">
        <v>0</v>
      </c>
      <c r="F33" s="50"/>
      <c r="G33" s="14">
        <v>0</v>
      </c>
      <c r="H33" s="50"/>
      <c r="I33" s="14">
        <v>0</v>
      </c>
      <c r="J33" s="50"/>
      <c r="K33" s="14">
        <v>1668922</v>
      </c>
      <c r="L33" s="50"/>
      <c r="M33" s="14">
        <v>1374742635620</v>
      </c>
      <c r="N33" s="50"/>
      <c r="O33" s="14">
        <v>1369014646894</v>
      </c>
      <c r="P33" s="50"/>
      <c r="Q33" s="273">
        <v>5727988726</v>
      </c>
      <c r="R33" s="273"/>
    </row>
    <row r="34" spans="1:18" ht="30" customHeight="1">
      <c r="A34" s="5" t="s">
        <v>157</v>
      </c>
      <c r="C34" s="14">
        <v>0</v>
      </c>
      <c r="D34" s="50"/>
      <c r="E34" s="14">
        <v>0</v>
      </c>
      <c r="F34" s="50"/>
      <c r="G34" s="14">
        <v>0</v>
      </c>
      <c r="H34" s="50"/>
      <c r="I34" s="14">
        <v>0</v>
      </c>
      <c r="J34" s="50"/>
      <c r="K34" s="14">
        <v>1199560</v>
      </c>
      <c r="L34" s="50"/>
      <c r="M34" s="14">
        <v>1033064043753</v>
      </c>
      <c r="N34" s="50"/>
      <c r="O34" s="14">
        <v>1031323636743</v>
      </c>
      <c r="P34" s="50"/>
      <c r="Q34" s="273">
        <v>1740407010</v>
      </c>
      <c r="R34" s="273"/>
    </row>
    <row r="35" spans="1:18" ht="30" customHeight="1">
      <c r="A35" s="5" t="s">
        <v>158</v>
      </c>
      <c r="C35" s="14">
        <v>0</v>
      </c>
      <c r="D35" s="50"/>
      <c r="E35" s="14">
        <v>0</v>
      </c>
      <c r="F35" s="50"/>
      <c r="G35" s="14">
        <v>0</v>
      </c>
      <c r="H35" s="50"/>
      <c r="I35" s="14">
        <v>0</v>
      </c>
      <c r="J35" s="50"/>
      <c r="K35" s="14">
        <v>337790</v>
      </c>
      <c r="L35" s="50"/>
      <c r="M35" s="14">
        <v>304377015913</v>
      </c>
      <c r="N35" s="50"/>
      <c r="O35" s="14">
        <v>303692607957</v>
      </c>
      <c r="P35" s="50"/>
      <c r="Q35" s="273">
        <v>684407956</v>
      </c>
      <c r="R35" s="273"/>
    </row>
    <row r="36" spans="1:18" ht="30" customHeight="1">
      <c r="A36" s="5" t="s">
        <v>159</v>
      </c>
      <c r="C36" s="14">
        <v>0</v>
      </c>
      <c r="D36" s="50"/>
      <c r="E36" s="14">
        <v>0</v>
      </c>
      <c r="F36" s="50"/>
      <c r="G36" s="14">
        <v>0</v>
      </c>
      <c r="H36" s="50"/>
      <c r="I36" s="14">
        <v>0</v>
      </c>
      <c r="J36" s="50"/>
      <c r="K36" s="14">
        <v>1287256</v>
      </c>
      <c r="L36" s="50"/>
      <c r="M36" s="14">
        <v>1007803616544</v>
      </c>
      <c r="N36" s="50"/>
      <c r="O36" s="14">
        <v>1005495661600</v>
      </c>
      <c r="P36" s="50"/>
      <c r="Q36" s="273">
        <v>2307954944</v>
      </c>
      <c r="R36" s="273"/>
    </row>
    <row r="37" spans="1:18" ht="30" customHeight="1">
      <c r="A37" s="5" t="s">
        <v>160</v>
      </c>
      <c r="C37" s="14">
        <v>0</v>
      </c>
      <c r="D37" s="50"/>
      <c r="E37" s="14">
        <v>0</v>
      </c>
      <c r="F37" s="50"/>
      <c r="G37" s="14">
        <v>0</v>
      </c>
      <c r="H37" s="50"/>
      <c r="I37" s="14">
        <v>0</v>
      </c>
      <c r="J37" s="50"/>
      <c r="K37" s="14">
        <v>1589220</v>
      </c>
      <c r="L37" s="50"/>
      <c r="M37" s="14">
        <v>1285684407520</v>
      </c>
      <c r="N37" s="50"/>
      <c r="O37" s="14">
        <v>1281725930000</v>
      </c>
      <c r="P37" s="50"/>
      <c r="Q37" s="273">
        <v>3958477520</v>
      </c>
      <c r="R37" s="273"/>
    </row>
    <row r="38" spans="1:18" ht="30" customHeight="1">
      <c r="A38" s="5" t="s">
        <v>161</v>
      </c>
      <c r="C38" s="14">
        <v>0</v>
      </c>
      <c r="D38" s="50"/>
      <c r="E38" s="14">
        <v>0</v>
      </c>
      <c r="F38" s="50"/>
      <c r="G38" s="14">
        <v>0</v>
      </c>
      <c r="H38" s="50"/>
      <c r="I38" s="14">
        <v>0</v>
      </c>
      <c r="J38" s="50"/>
      <c r="K38" s="14">
        <v>1242562</v>
      </c>
      <c r="L38" s="50"/>
      <c r="M38" s="14">
        <v>1002859245572</v>
      </c>
      <c r="N38" s="50"/>
      <c r="O38" s="14">
        <v>1001313736460</v>
      </c>
      <c r="P38" s="50"/>
      <c r="Q38" s="273">
        <v>1545509112</v>
      </c>
      <c r="R38" s="273"/>
    </row>
    <row r="39" spans="1:18" ht="30" customHeight="1">
      <c r="A39" s="5" t="s">
        <v>162</v>
      </c>
      <c r="C39" s="14">
        <v>0</v>
      </c>
      <c r="D39" s="50"/>
      <c r="E39" s="14">
        <v>0</v>
      </c>
      <c r="F39" s="50"/>
      <c r="G39" s="14">
        <v>0</v>
      </c>
      <c r="H39" s="50"/>
      <c r="I39" s="14">
        <v>0</v>
      </c>
      <c r="J39" s="50"/>
      <c r="K39" s="14">
        <v>1657391</v>
      </c>
      <c r="L39" s="50"/>
      <c r="M39" s="14">
        <v>1300070648220</v>
      </c>
      <c r="N39" s="50"/>
      <c r="O39" s="14">
        <v>1295068864798</v>
      </c>
      <c r="P39" s="50"/>
      <c r="Q39" s="273">
        <v>5001783422</v>
      </c>
      <c r="R39" s="273"/>
    </row>
    <row r="40" spans="1:18" ht="30" customHeight="1">
      <c r="A40" s="5" t="s">
        <v>163</v>
      </c>
      <c r="C40" s="14">
        <v>0</v>
      </c>
      <c r="D40" s="50"/>
      <c r="E40" s="14">
        <v>0</v>
      </c>
      <c r="F40" s="50"/>
      <c r="G40" s="14">
        <v>0</v>
      </c>
      <c r="H40" s="50"/>
      <c r="I40" s="14">
        <v>0</v>
      </c>
      <c r="J40" s="50"/>
      <c r="K40" s="14">
        <v>260431</v>
      </c>
      <c r="L40" s="50"/>
      <c r="M40" s="14">
        <v>202175958219</v>
      </c>
      <c r="N40" s="50"/>
      <c r="O40" s="14">
        <v>201395727200</v>
      </c>
      <c r="P40" s="50"/>
      <c r="Q40" s="273">
        <v>780231019</v>
      </c>
      <c r="R40" s="273"/>
    </row>
    <row r="41" spans="1:18" ht="30" customHeight="1">
      <c r="A41" s="5" t="s">
        <v>164</v>
      </c>
      <c r="C41" s="14">
        <v>0</v>
      </c>
      <c r="D41" s="50"/>
      <c r="E41" s="14">
        <v>0</v>
      </c>
      <c r="F41" s="50"/>
      <c r="G41" s="14">
        <v>0</v>
      </c>
      <c r="H41" s="50"/>
      <c r="I41" s="14">
        <v>0</v>
      </c>
      <c r="J41" s="50"/>
      <c r="K41" s="14">
        <v>72200</v>
      </c>
      <c r="L41" s="50"/>
      <c r="M41" s="14">
        <v>70927142125</v>
      </c>
      <c r="N41" s="50"/>
      <c r="O41" s="14">
        <v>70589417348</v>
      </c>
      <c r="P41" s="50"/>
      <c r="Q41" s="273">
        <v>337724777</v>
      </c>
      <c r="R41" s="273"/>
    </row>
    <row r="42" spans="1:18" ht="30" customHeight="1">
      <c r="A42" s="5" t="s">
        <v>165</v>
      </c>
      <c r="C42" s="14">
        <v>0</v>
      </c>
      <c r="D42" s="50"/>
      <c r="E42" s="14">
        <v>0</v>
      </c>
      <c r="F42" s="50"/>
      <c r="G42" s="14">
        <v>0</v>
      </c>
      <c r="H42" s="50"/>
      <c r="I42" s="14">
        <v>0</v>
      </c>
      <c r="J42" s="50"/>
      <c r="K42" s="14">
        <v>281400</v>
      </c>
      <c r="L42" s="50"/>
      <c r="M42" s="14">
        <v>197268934602</v>
      </c>
      <c r="N42" s="50"/>
      <c r="O42" s="14">
        <v>196561053028</v>
      </c>
      <c r="P42" s="50"/>
      <c r="Q42" s="273">
        <v>707881574</v>
      </c>
      <c r="R42" s="273"/>
    </row>
    <row r="43" spans="1:18" ht="30" customHeight="1">
      <c r="A43" s="5" t="s">
        <v>166</v>
      </c>
      <c r="C43" s="14">
        <v>0</v>
      </c>
      <c r="D43" s="50"/>
      <c r="E43" s="14">
        <v>0</v>
      </c>
      <c r="F43" s="50"/>
      <c r="G43" s="14">
        <v>0</v>
      </c>
      <c r="H43" s="50"/>
      <c r="I43" s="14">
        <v>0</v>
      </c>
      <c r="J43" s="50"/>
      <c r="K43" s="14">
        <v>245000</v>
      </c>
      <c r="L43" s="50"/>
      <c r="M43" s="14">
        <v>226116086657</v>
      </c>
      <c r="N43" s="50"/>
      <c r="O43" s="14">
        <v>222885094753</v>
      </c>
      <c r="P43" s="50"/>
      <c r="Q43" s="273">
        <v>3230991904</v>
      </c>
      <c r="R43" s="273"/>
    </row>
    <row r="44" spans="1:18" ht="30" customHeight="1">
      <c r="A44" s="5" t="s">
        <v>167</v>
      </c>
      <c r="C44" s="14">
        <v>0</v>
      </c>
      <c r="D44" s="50"/>
      <c r="E44" s="14">
        <v>0</v>
      </c>
      <c r="F44" s="50"/>
      <c r="G44" s="14">
        <v>0</v>
      </c>
      <c r="H44" s="50"/>
      <c r="I44" s="14">
        <v>0</v>
      </c>
      <c r="J44" s="50"/>
      <c r="K44" s="14">
        <v>66000</v>
      </c>
      <c r="L44" s="50"/>
      <c r="M44" s="14">
        <v>44569330359</v>
      </c>
      <c r="N44" s="50"/>
      <c r="O44" s="14">
        <v>44367716893</v>
      </c>
      <c r="P44" s="50"/>
      <c r="Q44" s="273">
        <v>201613466</v>
      </c>
      <c r="R44" s="273"/>
    </row>
    <row r="45" spans="1:18" ht="30" customHeight="1">
      <c r="A45" s="5" t="s">
        <v>168</v>
      </c>
      <c r="C45" s="14">
        <v>0</v>
      </c>
      <c r="D45" s="50"/>
      <c r="E45" s="14">
        <v>0</v>
      </c>
      <c r="F45" s="50"/>
      <c r="G45" s="14">
        <v>0</v>
      </c>
      <c r="H45" s="50"/>
      <c r="I45" s="14">
        <v>0</v>
      </c>
      <c r="J45" s="50"/>
      <c r="K45" s="14">
        <v>30000</v>
      </c>
      <c r="L45" s="50"/>
      <c r="M45" s="14">
        <v>29370675600</v>
      </c>
      <c r="N45" s="50"/>
      <c r="O45" s="14">
        <v>29994562500</v>
      </c>
      <c r="P45" s="50"/>
      <c r="Q45" s="275">
        <v>-623886900</v>
      </c>
      <c r="R45" s="275"/>
    </row>
    <row r="46" spans="1:18" ht="30" customHeight="1">
      <c r="A46" s="5" t="s">
        <v>169</v>
      </c>
      <c r="C46" s="14">
        <v>0</v>
      </c>
      <c r="D46" s="50"/>
      <c r="E46" s="14">
        <v>0</v>
      </c>
      <c r="F46" s="50"/>
      <c r="G46" s="14">
        <v>0</v>
      </c>
      <c r="H46" s="50"/>
      <c r="I46" s="14">
        <v>0</v>
      </c>
      <c r="J46" s="50"/>
      <c r="K46" s="14">
        <v>77600</v>
      </c>
      <c r="L46" s="50"/>
      <c r="M46" s="14">
        <v>48432749979</v>
      </c>
      <c r="N46" s="50"/>
      <c r="O46" s="14">
        <v>47924832049</v>
      </c>
      <c r="P46" s="50"/>
      <c r="Q46" s="273">
        <v>507917930</v>
      </c>
      <c r="R46" s="273"/>
    </row>
    <row r="47" spans="1:18" ht="30" customHeight="1">
      <c r="A47" s="5" t="s">
        <v>170</v>
      </c>
      <c r="C47" s="14">
        <v>0</v>
      </c>
      <c r="D47" s="50"/>
      <c r="E47" s="14">
        <v>0</v>
      </c>
      <c r="F47" s="50"/>
      <c r="G47" s="14">
        <v>0</v>
      </c>
      <c r="H47" s="50"/>
      <c r="I47" s="14">
        <v>0</v>
      </c>
      <c r="J47" s="50"/>
      <c r="K47" s="14">
        <v>42000</v>
      </c>
      <c r="L47" s="50"/>
      <c r="M47" s="14">
        <v>25574808736</v>
      </c>
      <c r="N47" s="50"/>
      <c r="O47" s="14">
        <v>25378519309</v>
      </c>
      <c r="P47" s="50"/>
      <c r="Q47" s="273">
        <v>196289427</v>
      </c>
      <c r="R47" s="273"/>
    </row>
    <row r="48" spans="1:18" ht="30" customHeight="1">
      <c r="A48" s="5" t="s">
        <v>171</v>
      </c>
      <c r="C48" s="14">
        <v>0</v>
      </c>
      <c r="D48" s="50"/>
      <c r="E48" s="14">
        <v>0</v>
      </c>
      <c r="F48" s="50"/>
      <c r="G48" s="14">
        <v>0</v>
      </c>
      <c r="H48" s="50"/>
      <c r="I48" s="14">
        <v>0</v>
      </c>
      <c r="J48" s="50"/>
      <c r="K48" s="14">
        <v>551600</v>
      </c>
      <c r="L48" s="50"/>
      <c r="M48" s="14">
        <v>465789023475</v>
      </c>
      <c r="N48" s="50"/>
      <c r="O48" s="14">
        <v>457684353672</v>
      </c>
      <c r="P48" s="50"/>
      <c r="Q48" s="273">
        <v>8104669803</v>
      </c>
      <c r="R48" s="273"/>
    </row>
    <row r="49" spans="1:18" ht="30" customHeight="1">
      <c r="A49" s="5" t="s">
        <v>172</v>
      </c>
      <c r="C49" s="14">
        <v>0</v>
      </c>
      <c r="D49" s="50"/>
      <c r="E49" s="14">
        <v>0</v>
      </c>
      <c r="F49" s="50"/>
      <c r="G49" s="14">
        <v>0</v>
      </c>
      <c r="H49" s="50"/>
      <c r="I49" s="14">
        <v>0</v>
      </c>
      <c r="J49" s="50"/>
      <c r="K49" s="14">
        <v>65100</v>
      </c>
      <c r="L49" s="50"/>
      <c r="M49" s="14">
        <v>42368839259</v>
      </c>
      <c r="N49" s="50"/>
      <c r="O49" s="14">
        <v>41988398223</v>
      </c>
      <c r="P49" s="50"/>
      <c r="Q49" s="273">
        <v>380441036</v>
      </c>
      <c r="R49" s="273"/>
    </row>
    <row r="50" spans="1:18" ht="30" customHeight="1">
      <c r="A50" s="5" t="s">
        <v>173</v>
      </c>
      <c r="C50" s="14">
        <v>0</v>
      </c>
      <c r="D50" s="50"/>
      <c r="E50" s="14">
        <v>0</v>
      </c>
      <c r="F50" s="50"/>
      <c r="G50" s="14">
        <v>0</v>
      </c>
      <c r="H50" s="50"/>
      <c r="I50" s="14">
        <v>0</v>
      </c>
      <c r="J50" s="50"/>
      <c r="K50" s="14">
        <v>29300</v>
      </c>
      <c r="L50" s="50"/>
      <c r="M50" s="14">
        <v>18807190580</v>
      </c>
      <c r="N50" s="50"/>
      <c r="O50" s="14">
        <v>18681223414</v>
      </c>
      <c r="P50" s="50"/>
      <c r="Q50" s="273">
        <v>125967166</v>
      </c>
      <c r="R50" s="273"/>
    </row>
    <row r="51" spans="1:18" ht="30" customHeight="1">
      <c r="A51" s="5" t="s">
        <v>174</v>
      </c>
      <c r="C51" s="14">
        <v>0</v>
      </c>
      <c r="D51" s="50"/>
      <c r="E51" s="14">
        <v>0</v>
      </c>
      <c r="F51" s="50"/>
      <c r="G51" s="14">
        <v>0</v>
      </c>
      <c r="H51" s="50"/>
      <c r="I51" s="14">
        <v>0</v>
      </c>
      <c r="J51" s="50"/>
      <c r="K51" s="14">
        <v>800000</v>
      </c>
      <c r="L51" s="50"/>
      <c r="M51" s="14">
        <v>819960000000</v>
      </c>
      <c r="N51" s="50"/>
      <c r="O51" s="14">
        <v>818943868750</v>
      </c>
      <c r="P51" s="50"/>
      <c r="Q51" s="273">
        <v>1016131250</v>
      </c>
      <c r="R51" s="273"/>
    </row>
    <row r="52" spans="1:18" ht="30" customHeight="1">
      <c r="A52" s="5" t="s">
        <v>71</v>
      </c>
      <c r="C52" s="14">
        <v>0</v>
      </c>
      <c r="D52" s="50"/>
      <c r="E52" s="14">
        <v>0</v>
      </c>
      <c r="F52" s="50"/>
      <c r="G52" s="14">
        <v>0</v>
      </c>
      <c r="H52" s="50"/>
      <c r="I52" s="14">
        <v>0</v>
      </c>
      <c r="J52" s="50"/>
      <c r="K52" s="14">
        <v>5000</v>
      </c>
      <c r="L52" s="50"/>
      <c r="M52" s="14">
        <v>4853970060</v>
      </c>
      <c r="N52" s="50"/>
      <c r="O52" s="14">
        <v>4819126374</v>
      </c>
      <c r="P52" s="50"/>
      <c r="Q52" s="273">
        <v>34843686</v>
      </c>
      <c r="R52" s="273"/>
    </row>
    <row r="53" spans="1:18" ht="30" customHeight="1">
      <c r="A53" s="5" t="s">
        <v>271</v>
      </c>
      <c r="C53" s="14">
        <v>0</v>
      </c>
      <c r="D53" s="50"/>
      <c r="E53" s="14">
        <v>0</v>
      </c>
      <c r="F53" s="50"/>
      <c r="G53" s="14">
        <v>0</v>
      </c>
      <c r="H53" s="50"/>
      <c r="I53" s="14"/>
      <c r="J53" s="50"/>
      <c r="K53" s="14">
        <v>428</v>
      </c>
      <c r="L53" s="50"/>
      <c r="M53" s="14">
        <v>232494536</v>
      </c>
      <c r="N53" s="50"/>
      <c r="O53" s="14">
        <v>226583299</v>
      </c>
      <c r="P53" s="50"/>
      <c r="Q53" s="273">
        <v>5911237</v>
      </c>
      <c r="R53" s="273"/>
    </row>
    <row r="54" spans="1:18" ht="30" customHeight="1">
      <c r="A54" s="5" t="s">
        <v>39</v>
      </c>
      <c r="C54" s="14">
        <v>120132</v>
      </c>
      <c r="D54" s="50"/>
      <c r="E54" s="14">
        <f>1267397600-1505028</f>
        <v>1265892572</v>
      </c>
      <c r="F54" s="50"/>
      <c r="G54" s="14">
        <v>1202713531</v>
      </c>
      <c r="H54" s="50"/>
      <c r="I54" s="14">
        <f>E54-G54</f>
        <v>63179041</v>
      </c>
      <c r="J54" s="50"/>
      <c r="K54" s="14">
        <v>120132</v>
      </c>
      <c r="L54" s="50"/>
      <c r="M54" s="14">
        <f>1267397600-1505028</f>
        <v>1265892572</v>
      </c>
      <c r="N54" s="50"/>
      <c r="O54" s="14">
        <v>1202713531</v>
      </c>
      <c r="P54" s="50"/>
      <c r="Q54" s="14">
        <f>M54-O54</f>
        <v>63179041</v>
      </c>
      <c r="R54" s="14"/>
    </row>
    <row r="55" spans="1:18" ht="30" customHeight="1">
      <c r="A55" s="5" t="s">
        <v>289</v>
      </c>
      <c r="C55" s="14">
        <v>98893</v>
      </c>
      <c r="D55" s="50"/>
      <c r="E55" s="14">
        <f>1076944770-1278869</f>
        <v>1075665901</v>
      </c>
      <c r="F55" s="50"/>
      <c r="G55" s="14">
        <v>1062352767</v>
      </c>
      <c r="H55" s="50"/>
      <c r="I55" s="14">
        <f>E55-G55</f>
        <v>13313134</v>
      </c>
      <c r="J55" s="50"/>
      <c r="K55" s="14">
        <v>98893</v>
      </c>
      <c r="L55" s="50"/>
      <c r="M55" s="14">
        <f>1076944770-1278869</f>
        <v>1075665901</v>
      </c>
      <c r="N55" s="50"/>
      <c r="O55" s="14">
        <v>1062352767</v>
      </c>
      <c r="P55" s="50"/>
      <c r="Q55" s="14">
        <f>M55-O55</f>
        <v>13313134</v>
      </c>
      <c r="R55" s="14"/>
    </row>
    <row r="56" spans="1:18" ht="30" customHeight="1">
      <c r="A56" s="5" t="s">
        <v>68</v>
      </c>
      <c r="C56" s="14">
        <v>20000</v>
      </c>
      <c r="D56" s="50"/>
      <c r="E56" s="14">
        <f>19500000000-3534375</f>
        <v>19496465625</v>
      </c>
      <c r="F56" s="50"/>
      <c r="G56" s="14">
        <v>18308421975</v>
      </c>
      <c r="H56" s="50"/>
      <c r="I56" s="14">
        <f>E56-G56</f>
        <v>1188043650</v>
      </c>
      <c r="J56" s="50"/>
      <c r="K56" s="14">
        <v>20000</v>
      </c>
      <c r="L56" s="50"/>
      <c r="M56" s="14">
        <f>19500000000-3534375</f>
        <v>19496465625</v>
      </c>
      <c r="N56" s="50"/>
      <c r="O56" s="14">
        <v>18308421975</v>
      </c>
      <c r="P56" s="50"/>
      <c r="Q56" s="14">
        <f>M56-O56</f>
        <v>1188043650</v>
      </c>
      <c r="R56" s="14"/>
    </row>
    <row r="57" spans="1:18" s="30" customFormat="1" ht="30" customHeight="1" thickBot="1">
      <c r="A57" s="4" t="s">
        <v>14</v>
      </c>
      <c r="C57" s="55">
        <f>SUM(C7:C56)</f>
        <v>239025</v>
      </c>
      <c r="D57" s="56"/>
      <c r="E57" s="55">
        <f>SUM(E7:E56)</f>
        <v>21838024098</v>
      </c>
      <c r="F57" s="56"/>
      <c r="G57" s="55">
        <f>SUM(G7:G56)</f>
        <v>20573488273</v>
      </c>
      <c r="H57" s="56"/>
      <c r="I57" s="55">
        <f>SUM(I7:I56)</f>
        <v>1264535825</v>
      </c>
      <c r="J57" s="56"/>
      <c r="K57" s="55">
        <f>SUM(K7:K56)</f>
        <v>123162848</v>
      </c>
      <c r="L57" s="56"/>
      <c r="M57" s="55">
        <f>SUM(M7:M56)</f>
        <v>18032775203731</v>
      </c>
      <c r="N57" s="56"/>
      <c r="O57" s="55">
        <f>SUM(O7:O56)</f>
        <v>18002490868441</v>
      </c>
      <c r="P57" s="56"/>
      <c r="Q57" s="276">
        <f>SUM(Q7:R56)</f>
        <v>30284335290</v>
      </c>
      <c r="R57" s="276"/>
    </row>
    <row r="58" spans="1:18" ht="30" customHeight="1" thickTop="1"/>
  </sheetData>
  <mergeCells count="58">
    <mergeCell ref="Q57:R57"/>
    <mergeCell ref="Q52:R52"/>
    <mergeCell ref="Q47:R47"/>
    <mergeCell ref="Q48:R48"/>
    <mergeCell ref="Q49:R49"/>
    <mergeCell ref="Q50:R50"/>
    <mergeCell ref="Q51:R51"/>
    <mergeCell ref="Q42:R42"/>
    <mergeCell ref="Q43:R43"/>
    <mergeCell ref="Q44:R44"/>
    <mergeCell ref="Q45:R45"/>
    <mergeCell ref="Q46:R46"/>
    <mergeCell ref="Q37:R37"/>
    <mergeCell ref="Q38:R38"/>
    <mergeCell ref="Q39:R39"/>
    <mergeCell ref="Q40:R40"/>
    <mergeCell ref="Q41:R41"/>
    <mergeCell ref="Q32:R32"/>
    <mergeCell ref="Q33:R33"/>
    <mergeCell ref="Q34:R34"/>
    <mergeCell ref="Q35:R35"/>
    <mergeCell ref="Q36:R36"/>
    <mergeCell ref="Q27:R27"/>
    <mergeCell ref="Q28:R28"/>
    <mergeCell ref="Q29:R29"/>
    <mergeCell ref="Q30:R30"/>
    <mergeCell ref="Q31:R31"/>
    <mergeCell ref="Q22:R22"/>
    <mergeCell ref="Q23:R23"/>
    <mergeCell ref="Q24:R24"/>
    <mergeCell ref="Q25:R25"/>
    <mergeCell ref="Q26:R26"/>
    <mergeCell ref="Q17:R17"/>
    <mergeCell ref="Q18:R18"/>
    <mergeCell ref="Q19:R19"/>
    <mergeCell ref="Q20:R20"/>
    <mergeCell ref="Q21:R21"/>
    <mergeCell ref="Q12:R12"/>
    <mergeCell ref="Q13:R13"/>
    <mergeCell ref="Q14:R14"/>
    <mergeCell ref="Q15:R15"/>
    <mergeCell ref="Q16:R16"/>
    <mergeCell ref="T6:V6"/>
    <mergeCell ref="T28:U28"/>
    <mergeCell ref="Q53:R53"/>
    <mergeCell ref="A1:Q1"/>
    <mergeCell ref="A2:R2"/>
    <mergeCell ref="A3:R3"/>
    <mergeCell ref="A4:R4"/>
    <mergeCell ref="A5:A6"/>
    <mergeCell ref="C5:I5"/>
    <mergeCell ref="K5:R5"/>
    <mergeCell ref="Q6:R6"/>
    <mergeCell ref="Q7:R7"/>
    <mergeCell ref="Q8:R8"/>
    <mergeCell ref="Q9:R9"/>
    <mergeCell ref="Q10:R10"/>
    <mergeCell ref="Q11:R11"/>
  </mergeCells>
  <pageMargins left="0.39" right="0.39" top="0.39" bottom="0.39" header="0" footer="0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N57"/>
  <sheetViews>
    <sheetView rightToLeft="1" view="pageBreakPreview" zoomScaleNormal="100" zoomScaleSheetLayoutView="100" workbookViewId="0">
      <selection activeCell="P47" sqref="P47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6" bestFit="1" customWidth="1"/>
    <col min="6" max="6" width="1.28515625" customWidth="1"/>
    <col min="7" max="7" width="18.5703125" bestFit="1" customWidth="1"/>
    <col min="8" max="8" width="1.28515625" customWidth="1"/>
    <col min="9" max="9" width="18.28515625" bestFit="1" customWidth="1"/>
    <col min="10" max="10" width="1.28515625" customWidth="1"/>
    <col min="11" max="11" width="14" bestFit="1" customWidth="1"/>
    <col min="12" max="12" width="1.28515625" customWidth="1"/>
    <col min="13" max="13" width="19.140625" bestFit="1" customWidth="1"/>
    <col min="14" max="14" width="3.42578125" bestFit="1" customWidth="1"/>
  </cols>
  <sheetData>
    <row r="1" spans="1:13" s="20" customFormat="1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20" customFormat="1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s="20" customFormat="1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s="21" customFormat="1" ht="30" customHeight="1">
      <c r="A4" s="221" t="s">
        <v>229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3" s="20" customFormat="1" ht="25.5" customHeight="1">
      <c r="A5" s="223" t="s">
        <v>118</v>
      </c>
      <c r="C5" s="223" t="s">
        <v>128</v>
      </c>
      <c r="D5" s="223"/>
      <c r="E5" s="223"/>
      <c r="F5" s="223"/>
      <c r="G5" s="223"/>
      <c r="I5" s="223" t="str">
        <f>'درآمد سرمایه گذاری در سهام'!$N$5</f>
        <v>از ابتدای سال مالی تا پایان ماه</v>
      </c>
      <c r="J5" s="223"/>
      <c r="K5" s="223"/>
      <c r="L5" s="223"/>
      <c r="M5" s="223"/>
    </row>
    <row r="6" spans="1:13" s="20" customFormat="1" ht="24" customHeight="1">
      <c r="A6" s="223"/>
      <c r="C6" s="7" t="s">
        <v>220</v>
      </c>
      <c r="D6" s="37"/>
      <c r="E6" s="7" t="s">
        <v>212</v>
      </c>
      <c r="F6" s="37"/>
      <c r="G6" s="7" t="s">
        <v>221</v>
      </c>
      <c r="I6" s="7" t="s">
        <v>220</v>
      </c>
      <c r="J6" s="37"/>
      <c r="K6" s="7" t="s">
        <v>212</v>
      </c>
      <c r="L6" s="37"/>
      <c r="M6" s="7" t="s">
        <v>221</v>
      </c>
    </row>
    <row r="7" spans="1:13" s="20" customFormat="1" ht="30" customHeight="1">
      <c r="A7" s="5" t="s">
        <v>268</v>
      </c>
      <c r="C7" s="14">
        <v>64372</v>
      </c>
      <c r="D7" s="50"/>
      <c r="E7" s="14">
        <v>0</v>
      </c>
      <c r="F7" s="50"/>
      <c r="G7" s="14">
        <f>C7</f>
        <v>64372</v>
      </c>
      <c r="H7" s="50"/>
      <c r="I7" s="14">
        <f>1045539+G7</f>
        <v>1109911</v>
      </c>
      <c r="J7" s="50"/>
      <c r="K7" s="87">
        <v>0</v>
      </c>
      <c r="L7" s="50"/>
      <c r="M7" s="14">
        <f>I7-K7</f>
        <v>1109911</v>
      </c>
    </row>
    <row r="8" spans="1:13" s="20" customFormat="1" ht="30" customHeight="1">
      <c r="A8" s="5" t="s">
        <v>270</v>
      </c>
      <c r="C8" s="14">
        <v>33959</v>
      </c>
      <c r="D8" s="50"/>
      <c r="E8" s="14">
        <v>0</v>
      </c>
      <c r="F8" s="50"/>
      <c r="G8" s="14">
        <f t="shared" ref="G8:G42" si="0">C8</f>
        <v>33959</v>
      </c>
      <c r="H8" s="50"/>
      <c r="I8" s="14">
        <f>611263+G8</f>
        <v>645222</v>
      </c>
      <c r="J8" s="50"/>
      <c r="K8" s="87">
        <v>0</v>
      </c>
      <c r="L8" s="50"/>
      <c r="M8" s="14">
        <f>I8-K8</f>
        <v>645222</v>
      </c>
    </row>
    <row r="9" spans="1:13" s="20" customFormat="1" ht="30" customHeight="1">
      <c r="A9" s="5" t="s">
        <v>267</v>
      </c>
      <c r="C9" s="14">
        <v>0</v>
      </c>
      <c r="D9" s="50"/>
      <c r="E9" s="14">
        <v>0</v>
      </c>
      <c r="F9" s="50"/>
      <c r="G9" s="14">
        <f t="shared" si="0"/>
        <v>0</v>
      </c>
      <c r="H9" s="50"/>
      <c r="I9" s="14">
        <v>3805150699</v>
      </c>
      <c r="J9" s="50"/>
      <c r="K9" s="87">
        <v>0</v>
      </c>
      <c r="L9" s="50"/>
      <c r="M9" s="14">
        <f t="shared" ref="M9:M52" si="1">I9-K9</f>
        <v>3805150699</v>
      </c>
    </row>
    <row r="10" spans="1:13" s="20" customFormat="1" ht="30" customHeight="1">
      <c r="A10" s="5" t="s">
        <v>266</v>
      </c>
      <c r="C10" s="14">
        <v>0</v>
      </c>
      <c r="D10" s="50"/>
      <c r="E10" s="14">
        <v>0</v>
      </c>
      <c r="F10" s="50"/>
      <c r="G10" s="14">
        <f t="shared" si="0"/>
        <v>0</v>
      </c>
      <c r="H10" s="50"/>
      <c r="I10" s="14">
        <v>304868</v>
      </c>
      <c r="J10" s="50"/>
      <c r="K10" s="87">
        <v>0</v>
      </c>
      <c r="L10" s="50"/>
      <c r="M10" s="14">
        <f t="shared" si="1"/>
        <v>304868</v>
      </c>
    </row>
    <row r="11" spans="1:13" s="20" customFormat="1" ht="30" customHeight="1">
      <c r="A11" s="5" t="s">
        <v>265</v>
      </c>
      <c r="C11" s="14">
        <v>5537</v>
      </c>
      <c r="D11" s="50"/>
      <c r="E11" s="14">
        <v>0</v>
      </c>
      <c r="F11" s="50"/>
      <c r="G11" s="14">
        <f t="shared" si="0"/>
        <v>5537</v>
      </c>
      <c r="H11" s="50"/>
      <c r="I11" s="14">
        <f>15948970+G11</f>
        <v>15954507</v>
      </c>
      <c r="J11" s="50"/>
      <c r="K11" s="87">
        <v>0</v>
      </c>
      <c r="L11" s="50"/>
      <c r="M11" s="14">
        <f t="shared" si="1"/>
        <v>15954507</v>
      </c>
    </row>
    <row r="12" spans="1:13" s="20" customFormat="1" ht="30" customHeight="1">
      <c r="A12" s="5" t="s">
        <v>185</v>
      </c>
      <c r="C12" s="14"/>
      <c r="D12" s="50"/>
      <c r="E12" s="14">
        <v>0</v>
      </c>
      <c r="F12" s="50"/>
      <c r="G12" s="14">
        <f t="shared" si="0"/>
        <v>0</v>
      </c>
      <c r="H12" s="50"/>
      <c r="I12" s="14">
        <v>341953979</v>
      </c>
      <c r="J12" s="50"/>
      <c r="K12" s="87">
        <v>0</v>
      </c>
      <c r="L12" s="50"/>
      <c r="M12" s="14">
        <f t="shared" si="1"/>
        <v>341953979</v>
      </c>
    </row>
    <row r="13" spans="1:13" s="20" customFormat="1" ht="30" customHeight="1">
      <c r="A13" s="5" t="s">
        <v>264</v>
      </c>
      <c r="C13" s="14">
        <v>52645</v>
      </c>
      <c r="D13" s="50"/>
      <c r="E13" s="14">
        <v>0</v>
      </c>
      <c r="F13" s="50"/>
      <c r="G13" s="14">
        <f t="shared" si="0"/>
        <v>52645</v>
      </c>
      <c r="H13" s="50"/>
      <c r="I13" s="14">
        <f>230659+G13</f>
        <v>283304</v>
      </c>
      <c r="J13" s="50"/>
      <c r="K13" s="87">
        <v>0</v>
      </c>
      <c r="L13" s="50"/>
      <c r="M13" s="14">
        <f t="shared" si="1"/>
        <v>283304</v>
      </c>
    </row>
    <row r="14" spans="1:13" s="20" customFormat="1" ht="30" customHeight="1">
      <c r="A14" s="5" t="s">
        <v>263</v>
      </c>
      <c r="C14" s="14">
        <v>38744</v>
      </c>
      <c r="D14" s="50"/>
      <c r="E14" s="14">
        <v>0</v>
      </c>
      <c r="F14" s="50"/>
      <c r="G14" s="14">
        <f t="shared" si="0"/>
        <v>38744</v>
      </c>
      <c r="H14" s="50"/>
      <c r="I14" s="14">
        <f>262858+G14</f>
        <v>301602</v>
      </c>
      <c r="J14" s="50"/>
      <c r="K14" s="87">
        <v>0</v>
      </c>
      <c r="L14" s="50"/>
      <c r="M14" s="14">
        <f t="shared" si="1"/>
        <v>301602</v>
      </c>
    </row>
    <row r="15" spans="1:13" s="20" customFormat="1" ht="30" customHeight="1">
      <c r="A15" s="5" t="s">
        <v>186</v>
      </c>
      <c r="C15" s="14">
        <v>0</v>
      </c>
      <c r="D15" s="50"/>
      <c r="E15" s="14">
        <v>0</v>
      </c>
      <c r="F15" s="50"/>
      <c r="G15" s="14">
        <f t="shared" si="0"/>
        <v>0</v>
      </c>
      <c r="H15" s="50"/>
      <c r="I15" s="14">
        <v>3561643844</v>
      </c>
      <c r="J15" s="50"/>
      <c r="K15" s="87">
        <v>0</v>
      </c>
      <c r="L15" s="50"/>
      <c r="M15" s="14">
        <f t="shared" si="1"/>
        <v>3561643844</v>
      </c>
    </row>
    <row r="16" spans="1:13" s="20" customFormat="1" ht="30" customHeight="1">
      <c r="A16" s="5" t="s">
        <v>187</v>
      </c>
      <c r="C16" s="14">
        <v>0</v>
      </c>
      <c r="D16" s="50"/>
      <c r="E16" s="14">
        <v>0</v>
      </c>
      <c r="F16" s="50"/>
      <c r="G16" s="14">
        <f t="shared" si="0"/>
        <v>0</v>
      </c>
      <c r="H16" s="50"/>
      <c r="I16" s="14">
        <v>966575330</v>
      </c>
      <c r="J16" s="50"/>
      <c r="K16" s="87">
        <v>0</v>
      </c>
      <c r="L16" s="50"/>
      <c r="M16" s="14">
        <f t="shared" si="1"/>
        <v>966575330</v>
      </c>
    </row>
    <row r="17" spans="1:13" s="20" customFormat="1" ht="30" customHeight="1">
      <c r="A17" s="5" t="s">
        <v>262</v>
      </c>
      <c r="C17" s="14">
        <v>2603</v>
      </c>
      <c r="D17" s="50"/>
      <c r="E17" s="14">
        <v>0</v>
      </c>
      <c r="F17" s="50"/>
      <c r="G17" s="14">
        <f t="shared" si="0"/>
        <v>2603</v>
      </c>
      <c r="H17" s="50"/>
      <c r="I17" s="14">
        <f>17339+G17</f>
        <v>19942</v>
      </c>
      <c r="J17" s="50"/>
      <c r="K17" s="87">
        <v>0</v>
      </c>
      <c r="L17" s="50"/>
      <c r="M17" s="14">
        <f t="shared" si="1"/>
        <v>19942</v>
      </c>
    </row>
    <row r="18" spans="1:13" s="20" customFormat="1" ht="30" customHeight="1">
      <c r="A18" s="5" t="s">
        <v>188</v>
      </c>
      <c r="C18" s="14">
        <v>0</v>
      </c>
      <c r="D18" s="50"/>
      <c r="E18" s="14">
        <v>0</v>
      </c>
      <c r="F18" s="50"/>
      <c r="G18" s="14">
        <f t="shared" si="0"/>
        <v>0</v>
      </c>
      <c r="H18" s="50"/>
      <c r="I18" s="14">
        <v>13497252634</v>
      </c>
      <c r="J18" s="50"/>
      <c r="K18" s="87">
        <v>0</v>
      </c>
      <c r="L18" s="50"/>
      <c r="M18" s="14">
        <f t="shared" si="1"/>
        <v>13497252634</v>
      </c>
    </row>
    <row r="19" spans="1:13" s="20" customFormat="1" ht="30" customHeight="1">
      <c r="A19" s="5" t="s">
        <v>189</v>
      </c>
      <c r="C19" s="14">
        <v>0</v>
      </c>
      <c r="D19" s="50"/>
      <c r="E19" s="14">
        <v>0</v>
      </c>
      <c r="F19" s="50"/>
      <c r="G19" s="14">
        <f t="shared" si="0"/>
        <v>0</v>
      </c>
      <c r="H19" s="50"/>
      <c r="I19" s="14">
        <v>10761917822</v>
      </c>
      <c r="J19" s="50"/>
      <c r="K19" s="87">
        <v>0</v>
      </c>
      <c r="L19" s="50"/>
      <c r="M19" s="14">
        <f t="shared" si="1"/>
        <v>10761917822</v>
      </c>
    </row>
    <row r="20" spans="1:13" s="20" customFormat="1" ht="30" customHeight="1">
      <c r="A20" s="5" t="s">
        <v>260</v>
      </c>
      <c r="C20" s="14">
        <v>82836</v>
      </c>
      <c r="D20" s="50"/>
      <c r="E20" s="14">
        <v>0</v>
      </c>
      <c r="F20" s="50"/>
      <c r="G20" s="14">
        <f t="shared" si="0"/>
        <v>82836</v>
      </c>
      <c r="H20" s="50"/>
      <c r="I20" s="14">
        <f>654948+G20</f>
        <v>737784</v>
      </c>
      <c r="J20" s="50"/>
      <c r="K20" s="87">
        <v>0</v>
      </c>
      <c r="L20" s="50"/>
      <c r="M20" s="14">
        <f t="shared" si="1"/>
        <v>737784</v>
      </c>
    </row>
    <row r="21" spans="1:13" s="20" customFormat="1" ht="30" customHeight="1">
      <c r="A21" s="5" t="s">
        <v>261</v>
      </c>
      <c r="C21" s="14">
        <v>0</v>
      </c>
      <c r="D21" s="50"/>
      <c r="E21" s="14">
        <v>0</v>
      </c>
      <c r="F21" s="50"/>
      <c r="G21" s="14">
        <f t="shared" si="0"/>
        <v>0</v>
      </c>
      <c r="H21" s="50"/>
      <c r="I21" s="14">
        <v>3448</v>
      </c>
      <c r="J21" s="50"/>
      <c r="K21" s="87">
        <v>0</v>
      </c>
      <c r="L21" s="50"/>
      <c r="M21" s="14">
        <f t="shared" si="1"/>
        <v>3448</v>
      </c>
    </row>
    <row r="22" spans="1:13" s="20" customFormat="1" ht="30" customHeight="1">
      <c r="A22" s="5" t="s">
        <v>190</v>
      </c>
      <c r="C22" s="14">
        <v>0</v>
      </c>
      <c r="D22" s="50"/>
      <c r="E22" s="14">
        <v>0</v>
      </c>
      <c r="F22" s="50"/>
      <c r="G22" s="14">
        <f t="shared" si="0"/>
        <v>0</v>
      </c>
      <c r="H22" s="50"/>
      <c r="I22" s="14">
        <v>61027397</v>
      </c>
      <c r="J22" s="50"/>
      <c r="K22" s="87">
        <v>0</v>
      </c>
      <c r="L22" s="50"/>
      <c r="M22" s="14">
        <f t="shared" si="1"/>
        <v>61027397</v>
      </c>
    </row>
    <row r="23" spans="1:13" s="20" customFormat="1" ht="30" customHeight="1">
      <c r="A23" s="5" t="s">
        <v>191</v>
      </c>
      <c r="C23" s="14">
        <v>0</v>
      </c>
      <c r="D23" s="50"/>
      <c r="E23" s="14">
        <v>0</v>
      </c>
      <c r="F23" s="50"/>
      <c r="G23" s="14">
        <f t="shared" si="0"/>
        <v>0</v>
      </c>
      <c r="H23" s="50"/>
      <c r="I23" s="14">
        <v>1898301376</v>
      </c>
      <c r="J23" s="50"/>
      <c r="K23" s="87">
        <v>0</v>
      </c>
      <c r="L23" s="50"/>
      <c r="M23" s="14">
        <f t="shared" si="1"/>
        <v>1898301376</v>
      </c>
    </row>
    <row r="24" spans="1:13" s="20" customFormat="1" ht="30" customHeight="1">
      <c r="A24" s="5" t="s">
        <v>192</v>
      </c>
      <c r="C24" s="14">
        <v>0</v>
      </c>
      <c r="D24" s="50"/>
      <c r="E24" s="14">
        <v>0</v>
      </c>
      <c r="F24" s="50"/>
      <c r="G24" s="14">
        <f t="shared" si="0"/>
        <v>0</v>
      </c>
      <c r="H24" s="50"/>
      <c r="I24" s="14">
        <v>3682191768</v>
      </c>
      <c r="J24" s="50"/>
      <c r="K24" s="87">
        <v>0</v>
      </c>
      <c r="L24" s="50"/>
      <c r="M24" s="14">
        <f t="shared" si="1"/>
        <v>3682191768</v>
      </c>
    </row>
    <row r="25" spans="1:13" s="20" customFormat="1" ht="30" customHeight="1">
      <c r="A25" s="5" t="s">
        <v>193</v>
      </c>
      <c r="C25" s="14">
        <v>0</v>
      </c>
      <c r="D25" s="50"/>
      <c r="E25" s="14">
        <v>0</v>
      </c>
      <c r="F25" s="50"/>
      <c r="G25" s="14">
        <f t="shared" si="0"/>
        <v>0</v>
      </c>
      <c r="H25" s="50"/>
      <c r="I25" s="14">
        <v>16297627078</v>
      </c>
      <c r="J25" s="50"/>
      <c r="K25" s="87">
        <v>0</v>
      </c>
      <c r="L25" s="50"/>
      <c r="M25" s="14">
        <f t="shared" si="1"/>
        <v>16297627078</v>
      </c>
    </row>
    <row r="26" spans="1:13" s="20" customFormat="1" ht="30" customHeight="1">
      <c r="A26" s="5" t="s">
        <v>194</v>
      </c>
      <c r="C26" s="14">
        <v>0</v>
      </c>
      <c r="D26" s="50"/>
      <c r="E26" s="14">
        <v>0</v>
      </c>
      <c r="F26" s="50"/>
      <c r="G26" s="14">
        <f t="shared" si="0"/>
        <v>0</v>
      </c>
      <c r="H26" s="50"/>
      <c r="I26" s="14">
        <v>5558047582</v>
      </c>
      <c r="J26" s="50"/>
      <c r="K26" s="87">
        <v>0</v>
      </c>
      <c r="L26" s="50"/>
      <c r="M26" s="14">
        <f t="shared" si="1"/>
        <v>5558047582</v>
      </c>
    </row>
    <row r="27" spans="1:13" s="20" customFormat="1" ht="30" customHeight="1">
      <c r="A27" s="5" t="s">
        <v>259</v>
      </c>
      <c r="C27" s="14">
        <v>15621</v>
      </c>
      <c r="D27" s="50"/>
      <c r="E27" s="14">
        <v>0</v>
      </c>
      <c r="F27" s="50"/>
      <c r="G27" s="14">
        <f t="shared" si="0"/>
        <v>15621</v>
      </c>
      <c r="H27" s="50"/>
      <c r="I27" s="14">
        <f>5011112324+G27</f>
        <v>5011127945</v>
      </c>
      <c r="J27" s="50"/>
      <c r="K27" s="87">
        <v>0</v>
      </c>
      <c r="L27" s="50"/>
      <c r="M27" s="14">
        <f t="shared" si="1"/>
        <v>5011127945</v>
      </c>
    </row>
    <row r="28" spans="1:13" s="20" customFormat="1" ht="30" customHeight="1">
      <c r="A28" s="5" t="s">
        <v>195</v>
      </c>
      <c r="C28" s="14">
        <v>0</v>
      </c>
      <c r="D28" s="50"/>
      <c r="E28" s="14">
        <v>0</v>
      </c>
      <c r="F28" s="50"/>
      <c r="G28" s="14">
        <f t="shared" si="0"/>
        <v>0</v>
      </c>
      <c r="H28" s="50"/>
      <c r="I28" s="14">
        <v>3181846013</v>
      </c>
      <c r="J28" s="50"/>
      <c r="K28" s="87">
        <v>0</v>
      </c>
      <c r="L28" s="50"/>
      <c r="M28" s="14">
        <f t="shared" si="1"/>
        <v>3181846013</v>
      </c>
    </row>
    <row r="29" spans="1:13" s="20" customFormat="1" ht="30" customHeight="1">
      <c r="A29" s="5" t="s">
        <v>196</v>
      </c>
      <c r="C29" s="14">
        <v>0</v>
      </c>
      <c r="D29" s="50"/>
      <c r="E29" s="14">
        <v>0</v>
      </c>
      <c r="F29" s="50"/>
      <c r="G29" s="14">
        <f t="shared" si="0"/>
        <v>0</v>
      </c>
      <c r="H29" s="50"/>
      <c r="I29" s="14">
        <v>10082189729</v>
      </c>
      <c r="J29" s="50"/>
      <c r="K29" s="87">
        <v>25936168</v>
      </c>
      <c r="L29" s="50"/>
      <c r="M29" s="14">
        <f t="shared" si="1"/>
        <v>10056253561</v>
      </c>
    </row>
    <row r="30" spans="1:13" s="20" customFormat="1" ht="30" customHeight="1">
      <c r="A30" s="5" t="s">
        <v>197</v>
      </c>
      <c r="C30" s="14">
        <v>0</v>
      </c>
      <c r="D30" s="50"/>
      <c r="E30" s="14">
        <v>0</v>
      </c>
      <c r="F30" s="50"/>
      <c r="G30" s="14">
        <f t="shared" si="0"/>
        <v>0</v>
      </c>
      <c r="H30" s="50"/>
      <c r="I30" s="14">
        <v>37275548167</v>
      </c>
      <c r="J30" s="50"/>
      <c r="K30" s="87">
        <v>0</v>
      </c>
      <c r="L30" s="50"/>
      <c r="M30" s="14">
        <f t="shared" si="1"/>
        <v>37275548167</v>
      </c>
    </row>
    <row r="31" spans="1:13" s="20" customFormat="1" ht="30" customHeight="1">
      <c r="A31" s="5" t="s">
        <v>269</v>
      </c>
      <c r="C31" s="14">
        <v>32192</v>
      </c>
      <c r="D31" s="50"/>
      <c r="E31" s="14">
        <v>0</v>
      </c>
      <c r="F31" s="50"/>
      <c r="G31" s="14">
        <f t="shared" si="0"/>
        <v>32192</v>
      </c>
      <c r="H31" s="50"/>
      <c r="I31" s="14">
        <f>222089+G31</f>
        <v>254281</v>
      </c>
      <c r="J31" s="50"/>
      <c r="K31" s="87">
        <v>0</v>
      </c>
      <c r="L31" s="50"/>
      <c r="M31" s="14">
        <f t="shared" si="1"/>
        <v>254281</v>
      </c>
    </row>
    <row r="32" spans="1:13" s="20" customFormat="1" ht="30" customHeight="1">
      <c r="A32" s="5" t="s">
        <v>198</v>
      </c>
      <c r="C32" s="14">
        <v>0</v>
      </c>
      <c r="D32" s="50"/>
      <c r="E32" s="14">
        <v>0</v>
      </c>
      <c r="F32" s="50"/>
      <c r="G32" s="14">
        <f t="shared" si="0"/>
        <v>0</v>
      </c>
      <c r="H32" s="50"/>
      <c r="I32" s="14">
        <v>14322821919</v>
      </c>
      <c r="J32" s="50"/>
      <c r="K32" s="87">
        <v>0</v>
      </c>
      <c r="L32" s="50"/>
      <c r="M32" s="14">
        <f t="shared" si="1"/>
        <v>14322821919</v>
      </c>
    </row>
    <row r="33" spans="1:13" s="20" customFormat="1" ht="30" customHeight="1">
      <c r="A33" s="5" t="s">
        <v>199</v>
      </c>
      <c r="C33" s="14">
        <v>0</v>
      </c>
      <c r="D33" s="50"/>
      <c r="E33" s="14">
        <v>0</v>
      </c>
      <c r="F33" s="50"/>
      <c r="G33" s="14">
        <f t="shared" si="0"/>
        <v>0</v>
      </c>
      <c r="H33" s="50"/>
      <c r="I33" s="14">
        <v>10873355123</v>
      </c>
      <c r="J33" s="50"/>
      <c r="K33" s="87">
        <v>0</v>
      </c>
      <c r="L33" s="50"/>
      <c r="M33" s="14">
        <f t="shared" si="1"/>
        <v>10873355123</v>
      </c>
    </row>
    <row r="34" spans="1:13" s="20" customFormat="1" ht="30" customHeight="1">
      <c r="A34" s="5" t="s">
        <v>200</v>
      </c>
      <c r="C34" s="14">
        <v>0</v>
      </c>
      <c r="D34" s="50"/>
      <c r="E34" s="14">
        <v>0</v>
      </c>
      <c r="F34" s="50"/>
      <c r="G34" s="14">
        <f t="shared" si="0"/>
        <v>0</v>
      </c>
      <c r="H34" s="50"/>
      <c r="I34" s="14">
        <v>28766879819</v>
      </c>
      <c r="J34" s="50"/>
      <c r="K34" s="87">
        <v>0</v>
      </c>
      <c r="L34" s="50"/>
      <c r="M34" s="14">
        <f t="shared" si="1"/>
        <v>28766879819</v>
      </c>
    </row>
    <row r="35" spans="1:13" s="20" customFormat="1" ht="30" customHeight="1">
      <c r="A35" s="5" t="s">
        <v>201</v>
      </c>
      <c r="C35" s="14">
        <v>0</v>
      </c>
      <c r="D35" s="50"/>
      <c r="E35" s="14">
        <v>0</v>
      </c>
      <c r="F35" s="50"/>
      <c r="G35" s="14">
        <f t="shared" si="0"/>
        <v>0</v>
      </c>
      <c r="H35" s="50"/>
      <c r="I35" s="14">
        <v>11332520552</v>
      </c>
      <c r="J35" s="50"/>
      <c r="K35" s="87">
        <v>0</v>
      </c>
      <c r="L35" s="50"/>
      <c r="M35" s="14">
        <f t="shared" si="1"/>
        <v>11332520552</v>
      </c>
    </row>
    <row r="36" spans="1:13" s="20" customFormat="1" ht="30" customHeight="1">
      <c r="A36" s="5" t="s">
        <v>202</v>
      </c>
      <c r="C36" s="14">
        <v>0</v>
      </c>
      <c r="D36" s="50"/>
      <c r="E36" s="14">
        <v>0</v>
      </c>
      <c r="F36" s="50"/>
      <c r="G36" s="14">
        <f t="shared" si="0"/>
        <v>0</v>
      </c>
      <c r="H36" s="50"/>
      <c r="I36" s="14">
        <v>7338074123</v>
      </c>
      <c r="J36" s="50"/>
      <c r="K36" s="87">
        <v>0</v>
      </c>
      <c r="L36" s="50"/>
      <c r="M36" s="14">
        <f t="shared" si="1"/>
        <v>7338074123</v>
      </c>
    </row>
    <row r="37" spans="1:13" s="20" customFormat="1" ht="30" customHeight="1">
      <c r="A37" s="5" t="s">
        <v>203</v>
      </c>
      <c r="C37" s="14">
        <v>0</v>
      </c>
      <c r="D37" s="50"/>
      <c r="E37" s="14">
        <v>0</v>
      </c>
      <c r="F37" s="50"/>
      <c r="G37" s="14">
        <f t="shared" si="0"/>
        <v>0</v>
      </c>
      <c r="H37" s="50"/>
      <c r="I37" s="14">
        <v>7792096256</v>
      </c>
      <c r="J37" s="50"/>
      <c r="K37" s="87">
        <v>0</v>
      </c>
      <c r="L37" s="50"/>
      <c r="M37" s="14">
        <f t="shared" si="1"/>
        <v>7792096256</v>
      </c>
    </row>
    <row r="38" spans="1:13" s="20" customFormat="1" ht="30" customHeight="1">
      <c r="A38" s="5" t="s">
        <v>204</v>
      </c>
      <c r="C38" s="14">
        <v>0</v>
      </c>
      <c r="D38" s="50"/>
      <c r="E38" s="14">
        <v>0</v>
      </c>
      <c r="F38" s="50"/>
      <c r="G38" s="14">
        <f t="shared" si="0"/>
        <v>0</v>
      </c>
      <c r="H38" s="50"/>
      <c r="I38" s="14">
        <v>11691530012</v>
      </c>
      <c r="J38" s="50"/>
      <c r="K38" s="87">
        <v>0</v>
      </c>
      <c r="L38" s="50"/>
      <c r="M38" s="14">
        <f t="shared" si="1"/>
        <v>11691530012</v>
      </c>
    </row>
    <row r="39" spans="1:13" s="20" customFormat="1" ht="30" customHeight="1">
      <c r="A39" s="5" t="s">
        <v>106</v>
      </c>
      <c r="C39" s="14">
        <v>6915189935</v>
      </c>
      <c r="D39" s="50"/>
      <c r="E39" s="14">
        <v>0</v>
      </c>
      <c r="F39" s="50"/>
      <c r="G39" s="14">
        <f t="shared" si="0"/>
        <v>6915189935</v>
      </c>
      <c r="H39" s="50"/>
      <c r="I39" s="14">
        <f>38162573730+G39</f>
        <v>45077763665</v>
      </c>
      <c r="J39" s="50"/>
      <c r="K39" s="87"/>
      <c r="L39" s="50"/>
      <c r="M39" s="14">
        <f t="shared" si="1"/>
        <v>45077763665</v>
      </c>
    </row>
    <row r="40" spans="1:13" s="20" customFormat="1" ht="30" customHeight="1">
      <c r="A40" s="5" t="s">
        <v>107</v>
      </c>
      <c r="C40" s="14">
        <v>1180799160</v>
      </c>
      <c r="D40" s="50"/>
      <c r="E40" s="14">
        <v>0</v>
      </c>
      <c r="F40" s="50"/>
      <c r="G40" s="14">
        <f t="shared" si="0"/>
        <v>1180799160</v>
      </c>
      <c r="H40" s="50"/>
      <c r="I40" s="14">
        <f>15707330140+G40</f>
        <v>16888129300</v>
      </c>
      <c r="J40" s="50"/>
      <c r="K40" s="87">
        <v>12427</v>
      </c>
      <c r="L40" s="50"/>
      <c r="M40" s="14">
        <f t="shared" si="1"/>
        <v>16888116873</v>
      </c>
    </row>
    <row r="41" spans="1:13" s="20" customFormat="1" ht="30" customHeight="1">
      <c r="A41" s="5" t="s">
        <v>258</v>
      </c>
      <c r="C41" s="14">
        <v>45938</v>
      </c>
      <c r="D41" s="50"/>
      <c r="E41" s="14">
        <v>0</v>
      </c>
      <c r="F41" s="50"/>
      <c r="G41" s="14">
        <f t="shared" si="0"/>
        <v>45938</v>
      </c>
      <c r="H41" s="50"/>
      <c r="I41" s="87">
        <f>80297+G41</f>
        <v>126235</v>
      </c>
      <c r="J41" s="50"/>
      <c r="K41" s="87">
        <v>0</v>
      </c>
      <c r="L41" s="50"/>
      <c r="M41" s="14">
        <f t="shared" si="1"/>
        <v>126235</v>
      </c>
    </row>
    <row r="42" spans="1:13" s="20" customFormat="1" ht="30" customHeight="1">
      <c r="A42" s="5" t="s">
        <v>108</v>
      </c>
      <c r="C42" s="14">
        <v>0</v>
      </c>
      <c r="D42" s="50"/>
      <c r="E42" s="14">
        <v>0</v>
      </c>
      <c r="F42" s="50"/>
      <c r="G42" s="14">
        <f t="shared" si="0"/>
        <v>0</v>
      </c>
      <c r="H42" s="50"/>
      <c r="I42" s="14">
        <v>15688524555</v>
      </c>
      <c r="J42" s="50"/>
      <c r="K42" s="87">
        <v>0</v>
      </c>
      <c r="L42" s="50"/>
      <c r="M42" s="14">
        <f t="shared" si="1"/>
        <v>15688524555</v>
      </c>
    </row>
    <row r="43" spans="1:13" s="20" customFormat="1" ht="30" customHeight="1">
      <c r="A43" s="5" t="s">
        <v>110</v>
      </c>
      <c r="C43" s="14">
        <v>4813416645</v>
      </c>
      <c r="D43" s="50"/>
      <c r="E43" s="14">
        <v>0</v>
      </c>
      <c r="F43" s="50"/>
      <c r="G43" s="14">
        <f>C43</f>
        <v>4813416645</v>
      </c>
      <c r="H43" s="50"/>
      <c r="I43" s="14">
        <f>28291537582+G43</f>
        <v>33104954227</v>
      </c>
      <c r="J43" s="50"/>
      <c r="K43" s="87"/>
      <c r="L43" s="50"/>
      <c r="M43" s="14">
        <f t="shared" si="1"/>
        <v>33104954227</v>
      </c>
    </row>
    <row r="44" spans="1:13" s="20" customFormat="1" ht="30" customHeight="1">
      <c r="A44" s="5" t="s">
        <v>111</v>
      </c>
      <c r="C44" s="14">
        <v>3276434414</v>
      </c>
      <c r="D44" s="50"/>
      <c r="E44" s="14">
        <v>1387521</v>
      </c>
      <c r="F44" s="50"/>
      <c r="G44" s="14">
        <f>C44-E44</f>
        <v>3275046893</v>
      </c>
      <c r="H44" s="50"/>
      <c r="I44" s="14">
        <f>14797295041+G44</f>
        <v>18072341934</v>
      </c>
      <c r="J44" s="50"/>
      <c r="K44" s="87">
        <v>4947107</v>
      </c>
      <c r="L44" s="50"/>
      <c r="M44" s="14">
        <f t="shared" si="1"/>
        <v>18067394827</v>
      </c>
    </row>
    <row r="45" spans="1:13" s="20" customFormat="1" ht="30" customHeight="1">
      <c r="A45" s="5" t="s">
        <v>112</v>
      </c>
      <c r="C45" s="14">
        <v>4110655710</v>
      </c>
      <c r="D45" s="50"/>
      <c r="E45" s="14">
        <v>0</v>
      </c>
      <c r="F45" s="50"/>
      <c r="G45" s="14">
        <f t="shared" ref="G45:G52" si="2">C45-E45</f>
        <v>4110655710</v>
      </c>
      <c r="H45" s="50"/>
      <c r="I45" s="14">
        <f>13359232640+G45</f>
        <v>17469888350</v>
      </c>
      <c r="J45" s="50"/>
      <c r="K45" s="87"/>
      <c r="L45" s="50"/>
      <c r="M45" s="14">
        <f t="shared" si="1"/>
        <v>17469888350</v>
      </c>
    </row>
    <row r="46" spans="1:13" s="20" customFormat="1" ht="30" customHeight="1">
      <c r="A46" s="5" t="s">
        <v>257</v>
      </c>
      <c r="C46" s="14">
        <v>21584</v>
      </c>
      <c r="D46" s="50"/>
      <c r="E46" s="14">
        <v>0</v>
      </c>
      <c r="F46" s="50"/>
      <c r="G46" s="14">
        <f t="shared" si="2"/>
        <v>21584</v>
      </c>
      <c r="H46" s="50"/>
      <c r="I46" s="14">
        <f>6949+G46</f>
        <v>28533</v>
      </c>
      <c r="J46" s="50"/>
      <c r="K46" s="87"/>
      <c r="L46" s="50"/>
      <c r="M46" s="14">
        <f t="shared" si="1"/>
        <v>28533</v>
      </c>
    </row>
    <row r="47" spans="1:13" s="20" customFormat="1" ht="30" customHeight="1">
      <c r="A47" s="5" t="s">
        <v>114</v>
      </c>
      <c r="C47" s="14">
        <v>356285663</v>
      </c>
      <c r="D47" s="50"/>
      <c r="E47" s="14">
        <v>0</v>
      </c>
      <c r="F47" s="50"/>
      <c r="G47" s="14">
        <f t="shared" si="2"/>
        <v>356285663</v>
      </c>
      <c r="H47" s="50"/>
      <c r="I47" s="14">
        <f>18160768008+G47</f>
        <v>18517053671</v>
      </c>
      <c r="J47" s="50"/>
      <c r="K47" s="87"/>
      <c r="L47" s="50"/>
      <c r="M47" s="14">
        <f t="shared" si="1"/>
        <v>18517053671</v>
      </c>
    </row>
    <row r="48" spans="1:13" s="20" customFormat="1" ht="30" customHeight="1">
      <c r="A48" s="5" t="s">
        <v>115</v>
      </c>
      <c r="C48" s="14">
        <v>2405942596</v>
      </c>
      <c r="D48" s="50"/>
      <c r="E48" s="14">
        <v>702740</v>
      </c>
      <c r="F48" s="50"/>
      <c r="G48" s="14">
        <f t="shared" si="2"/>
        <v>2405239856</v>
      </c>
      <c r="H48" s="50"/>
      <c r="I48" s="14">
        <f>7173497188+G48</f>
        <v>9578737044</v>
      </c>
      <c r="J48" s="50"/>
      <c r="K48" s="87">
        <v>4856824</v>
      </c>
      <c r="L48" s="50"/>
      <c r="M48" s="14">
        <f t="shared" si="1"/>
        <v>9573880220</v>
      </c>
    </row>
    <row r="49" spans="1:14" s="20" customFormat="1" ht="30" customHeight="1">
      <c r="A49" s="5" t="s">
        <v>116</v>
      </c>
      <c r="C49" s="14">
        <v>11413114736</v>
      </c>
      <c r="D49" s="50"/>
      <c r="E49" s="14">
        <v>0</v>
      </c>
      <c r="F49" s="50"/>
      <c r="G49" s="14">
        <f t="shared" si="2"/>
        <v>11413114736</v>
      </c>
      <c r="H49" s="50"/>
      <c r="I49" s="14">
        <f>21359289592+G49</f>
        <v>32772404328</v>
      </c>
      <c r="J49" s="50"/>
      <c r="K49" s="87">
        <v>43821368</v>
      </c>
      <c r="L49" s="50"/>
      <c r="M49" s="14">
        <f t="shared" si="1"/>
        <v>32728582960</v>
      </c>
    </row>
    <row r="50" spans="1:14" s="20" customFormat="1" ht="30" customHeight="1">
      <c r="A50" s="5" t="s">
        <v>286</v>
      </c>
      <c r="C50" s="14">
        <v>1209016380</v>
      </c>
      <c r="D50" s="50"/>
      <c r="E50" s="14">
        <v>14442593</v>
      </c>
      <c r="F50" s="50"/>
      <c r="G50" s="14">
        <f t="shared" si="2"/>
        <v>1194573787</v>
      </c>
      <c r="H50" s="50"/>
      <c r="I50" s="14">
        <f>G50</f>
        <v>1194573787</v>
      </c>
      <c r="J50" s="50"/>
      <c r="K50" s="87">
        <v>14442593</v>
      </c>
      <c r="L50" s="50"/>
      <c r="M50" s="14">
        <f t="shared" si="1"/>
        <v>1180131194</v>
      </c>
    </row>
    <row r="51" spans="1:14" s="20" customFormat="1" ht="30" customHeight="1">
      <c r="A51" s="5" t="s">
        <v>287</v>
      </c>
      <c r="C51" s="14">
        <v>1209016380</v>
      </c>
      <c r="D51" s="50"/>
      <c r="E51" s="14">
        <v>14442593</v>
      </c>
      <c r="F51" s="50"/>
      <c r="G51" s="14">
        <f t="shared" si="2"/>
        <v>1194573787</v>
      </c>
      <c r="H51" s="50"/>
      <c r="I51" s="14">
        <f>G51</f>
        <v>1194573787</v>
      </c>
      <c r="J51" s="50"/>
      <c r="K51" s="87">
        <v>14442593</v>
      </c>
      <c r="L51" s="50"/>
      <c r="M51" s="14">
        <f t="shared" si="1"/>
        <v>1180131194</v>
      </c>
    </row>
    <row r="52" spans="1:14" s="20" customFormat="1" ht="30" customHeight="1">
      <c r="A52" s="5" t="s">
        <v>288</v>
      </c>
      <c r="C52" s="14">
        <v>1128415288</v>
      </c>
      <c r="D52" s="50"/>
      <c r="E52" s="14">
        <v>14366962</v>
      </c>
      <c r="F52" s="50"/>
      <c r="G52" s="14">
        <f t="shared" si="2"/>
        <v>1114048326</v>
      </c>
      <c r="H52" s="50"/>
      <c r="I52" s="14">
        <f>G52</f>
        <v>1114048326</v>
      </c>
      <c r="J52" s="50"/>
      <c r="K52" s="87">
        <v>14366962</v>
      </c>
      <c r="L52" s="50"/>
      <c r="M52" s="14">
        <f t="shared" si="1"/>
        <v>1099681364</v>
      </c>
      <c r="N52" s="277"/>
    </row>
    <row r="53" spans="1:14" s="30" customFormat="1" ht="30" customHeight="1" thickBot="1">
      <c r="A53" s="4" t="s">
        <v>14</v>
      </c>
      <c r="C53" s="55">
        <f>SUM(C7:C52)</f>
        <v>38018682938</v>
      </c>
      <c r="D53" s="40">
        <f>SUM(D8:D49)</f>
        <v>0</v>
      </c>
      <c r="E53" s="55">
        <f>SUM(E7:E52)</f>
        <v>45342409</v>
      </c>
      <c r="F53" s="40">
        <f>SUM(F8:F49)</f>
        <v>0</v>
      </c>
      <c r="G53" s="55">
        <f>SUM(G7:G52)</f>
        <v>37973340529</v>
      </c>
      <c r="H53" s="56"/>
      <c r="I53" s="67">
        <f>SUM(I7:I52)</f>
        <v>418792441778</v>
      </c>
      <c r="J53" s="55">
        <f t="shared" ref="J53:N53" si="3">SUM(J7:J49)</f>
        <v>0</v>
      </c>
      <c r="K53" s="55">
        <f>SUM(K7:K52)</f>
        <v>122826042</v>
      </c>
      <c r="L53" s="55">
        <f t="shared" si="3"/>
        <v>0</v>
      </c>
      <c r="M53" s="55">
        <f>SUM(M7:M52)</f>
        <v>418669615736</v>
      </c>
      <c r="N53" s="278"/>
    </row>
    <row r="54" spans="1:14" ht="13.5" thickTop="1"/>
    <row r="55" spans="1:14" ht="18.75">
      <c r="E55" s="88"/>
      <c r="I55" s="59"/>
    </row>
    <row r="56" spans="1:14">
      <c r="E56" s="88"/>
      <c r="G56" s="88"/>
    </row>
    <row r="57" spans="1:14">
      <c r="I57" s="57"/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18"/>
  <sheetViews>
    <sheetView rightToLeft="1" view="pageBreakPreview" zoomScaleNormal="100" zoomScaleSheetLayoutView="100" workbookViewId="0">
      <selection activeCell="C11" sqref="C11"/>
    </sheetView>
  </sheetViews>
  <sheetFormatPr defaultRowHeight="15"/>
  <cols>
    <col min="1" max="1" width="3.5703125" style="20" bestFit="1" customWidth="1"/>
    <col min="2" max="2" width="2.5703125" style="20" customWidth="1"/>
    <col min="3" max="3" width="23.42578125" style="20" customWidth="1"/>
    <col min="4" max="4" width="1.28515625" style="20" customWidth="1"/>
    <col min="5" max="5" width="12.140625" style="20" bestFit="1" customWidth="1"/>
    <col min="6" max="6" width="1" style="20" customWidth="1"/>
    <col min="7" max="7" width="16.7109375" style="20" bestFit="1" customWidth="1"/>
    <col min="8" max="8" width="1.28515625" style="20" customWidth="1"/>
    <col min="9" max="9" width="18.140625" style="20" bestFit="1" customWidth="1"/>
    <col min="10" max="10" width="1.28515625" style="20" customWidth="1"/>
    <col min="11" max="11" width="5.42578125" style="20" bestFit="1" customWidth="1"/>
    <col min="12" max="12" width="1.28515625" style="20" customWidth="1"/>
    <col min="13" max="13" width="12.85546875" style="20" bestFit="1" customWidth="1"/>
    <col min="14" max="14" width="1.28515625" style="20" customWidth="1"/>
    <col min="15" max="15" width="10.42578125" style="20" bestFit="1" customWidth="1"/>
    <col min="16" max="16" width="1.28515625" style="20" customWidth="1"/>
    <col min="17" max="17" width="13.85546875" style="20" bestFit="1" customWidth="1"/>
    <col min="18" max="18" width="1.28515625" style="20" customWidth="1"/>
    <col min="19" max="19" width="12.140625" style="20" bestFit="1" customWidth="1"/>
    <col min="20" max="20" width="1.28515625" style="20" customWidth="1"/>
    <col min="21" max="21" width="16.140625" style="99" bestFit="1" customWidth="1"/>
    <col min="22" max="22" width="1.28515625" style="99" customWidth="1"/>
    <col min="23" max="23" width="16.140625" style="99" bestFit="1" customWidth="1"/>
    <col min="24" max="24" width="1.28515625" style="99" customWidth="1"/>
    <col min="25" max="25" width="17.5703125" style="99" bestFit="1" customWidth="1"/>
    <col min="26" max="26" width="1.28515625" style="99" customWidth="1"/>
    <col min="27" max="27" width="20.5703125" style="99" bestFit="1" customWidth="1"/>
    <col min="28" max="28" width="0.28515625" style="20" customWidth="1"/>
    <col min="29" max="29" width="9.140625" style="20"/>
    <col min="30" max="30" width="9.140625" style="43"/>
    <col min="31" max="16384" width="9.140625" style="20"/>
  </cols>
  <sheetData>
    <row r="1" spans="1:30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1:30" ht="30" customHeight="1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</row>
    <row r="3" spans="1:30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</row>
    <row r="4" spans="1:30" s="21" customFormat="1" ht="25.5">
      <c r="A4" s="221" t="s">
        <v>241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D4" s="76"/>
    </row>
    <row r="5" spans="1:30" s="21" customFormat="1" ht="25.5">
      <c r="A5" s="221" t="s">
        <v>242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D5" s="76"/>
    </row>
    <row r="6" spans="1:30" ht="24" customHeight="1">
      <c r="E6" s="223" t="s">
        <v>243</v>
      </c>
      <c r="F6" s="223"/>
      <c r="G6" s="223"/>
      <c r="H6" s="223"/>
      <c r="I6" s="223"/>
      <c r="J6" s="22"/>
      <c r="K6" s="223" t="s">
        <v>2</v>
      </c>
      <c r="L6" s="223"/>
      <c r="M6" s="223"/>
      <c r="N6" s="223"/>
      <c r="O6" s="223"/>
      <c r="P6" s="223"/>
      <c r="Q6" s="223"/>
      <c r="R6" s="22"/>
      <c r="S6" s="223" t="s">
        <v>285</v>
      </c>
      <c r="T6" s="223"/>
      <c r="U6" s="223"/>
      <c r="V6" s="223"/>
      <c r="W6" s="223"/>
      <c r="X6" s="223"/>
      <c r="Y6" s="223"/>
      <c r="Z6" s="223"/>
      <c r="AA6" s="223"/>
    </row>
    <row r="7" spans="1:30" ht="35.1" customHeight="1">
      <c r="E7" s="23"/>
      <c r="F7" s="23"/>
      <c r="G7" s="23"/>
      <c r="H7" s="23"/>
      <c r="I7" s="23"/>
      <c r="J7" s="22"/>
      <c r="K7" s="224" t="s">
        <v>3</v>
      </c>
      <c r="L7" s="224"/>
      <c r="M7" s="224"/>
      <c r="N7" s="23"/>
      <c r="O7" s="224" t="s">
        <v>4</v>
      </c>
      <c r="P7" s="224"/>
      <c r="Q7" s="224"/>
      <c r="R7" s="22"/>
      <c r="S7" s="23"/>
      <c r="T7" s="23"/>
      <c r="U7" s="197"/>
      <c r="V7" s="197"/>
      <c r="W7" s="197"/>
      <c r="X7" s="197"/>
      <c r="Y7" s="197"/>
      <c r="Z7" s="197"/>
      <c r="AA7" s="197"/>
    </row>
    <row r="8" spans="1:30" ht="35.1" customHeight="1">
      <c r="A8" s="223" t="s">
        <v>5</v>
      </c>
      <c r="B8" s="223"/>
      <c r="C8" s="223"/>
      <c r="E8" s="25"/>
      <c r="F8" s="22"/>
      <c r="G8" s="1" t="s">
        <v>7</v>
      </c>
      <c r="H8" s="22"/>
      <c r="I8" s="1" t="s">
        <v>8</v>
      </c>
      <c r="J8" s="22"/>
      <c r="K8" s="2" t="s">
        <v>6</v>
      </c>
      <c r="L8" s="23"/>
      <c r="M8" s="2" t="s">
        <v>7</v>
      </c>
      <c r="N8" s="22"/>
      <c r="O8" s="2" t="s">
        <v>6</v>
      </c>
      <c r="P8" s="23"/>
      <c r="Q8" s="2" t="s">
        <v>9</v>
      </c>
      <c r="R8" s="22"/>
      <c r="S8" s="1" t="s">
        <v>6</v>
      </c>
      <c r="T8" s="22"/>
      <c r="U8" s="112" t="s">
        <v>10</v>
      </c>
      <c r="V8" s="115"/>
      <c r="W8" s="112" t="s">
        <v>7</v>
      </c>
      <c r="X8" s="115"/>
      <c r="Y8" s="112" t="s">
        <v>8</v>
      </c>
      <c r="Z8" s="115"/>
      <c r="AA8" s="112" t="s">
        <v>11</v>
      </c>
    </row>
    <row r="9" spans="1:30" s="31" customFormat="1" ht="35.1" customHeight="1">
      <c r="A9" s="225" t="s">
        <v>13</v>
      </c>
      <c r="B9" s="225"/>
      <c r="C9" s="225"/>
      <c r="E9" s="33">
        <v>58593750</v>
      </c>
      <c r="G9" s="32">
        <v>300178008395</v>
      </c>
      <c r="I9" s="32">
        <v>347257388671.875</v>
      </c>
      <c r="K9" s="33">
        <v>0</v>
      </c>
      <c r="M9" s="32">
        <v>0</v>
      </c>
      <c r="O9" s="32">
        <v>0</v>
      </c>
      <c r="Q9" s="32">
        <v>0</v>
      </c>
      <c r="S9" s="33">
        <v>58593750</v>
      </c>
      <c r="U9" s="74">
        <v>5967</v>
      </c>
      <c r="V9" s="142"/>
      <c r="W9" s="162">
        <v>300178008395</v>
      </c>
      <c r="X9" s="142"/>
      <c r="Y9" s="162">
        <v>347548614258</v>
      </c>
      <c r="Z9" s="142"/>
      <c r="AA9" s="198">
        <v>6.8699999999999997E-2</v>
      </c>
      <c r="AC9" s="75"/>
      <c r="AD9" s="195"/>
    </row>
    <row r="10" spans="1:30" s="35" customFormat="1" ht="35.1" customHeight="1" thickBot="1">
      <c r="A10" s="222" t="s">
        <v>14</v>
      </c>
      <c r="B10" s="222"/>
      <c r="C10" s="222"/>
      <c r="D10" s="19"/>
      <c r="E10" s="36">
        <f>SUM(E9)</f>
        <v>58593750</v>
      </c>
      <c r="G10" s="36">
        <f>SUM(G9)</f>
        <v>300178008395</v>
      </c>
      <c r="I10" s="36">
        <f>SUM(I9)</f>
        <v>347257388671.875</v>
      </c>
      <c r="K10" s="34"/>
      <c r="M10" s="36">
        <v>0</v>
      </c>
      <c r="O10" s="36">
        <f>SUM(O9)</f>
        <v>0</v>
      </c>
      <c r="Q10" s="36">
        <f>SUM(Q9)</f>
        <v>0</v>
      </c>
      <c r="S10" s="36">
        <f>SUM(S9)</f>
        <v>58593750</v>
      </c>
      <c r="U10" s="199"/>
      <c r="V10" s="183"/>
      <c r="W10" s="182">
        <f>SUM(W9)</f>
        <v>300178008395</v>
      </c>
      <c r="X10" s="183"/>
      <c r="Y10" s="182">
        <f>SUM(Y9)</f>
        <v>347548614258</v>
      </c>
      <c r="Z10" s="183"/>
      <c r="AA10" s="200">
        <f>SUM(AA9)</f>
        <v>6.8699999999999997E-2</v>
      </c>
      <c r="AD10" s="196"/>
    </row>
    <row r="11" spans="1:30" ht="15.75" thickTop="1"/>
    <row r="16" spans="1:30" ht="15.75">
      <c r="C16" s="227"/>
      <c r="D16" s="227"/>
      <c r="E16" s="227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139"/>
      <c r="S16" s="226"/>
      <c r="T16" s="226"/>
      <c r="U16" s="227"/>
      <c r="V16" s="227"/>
    </row>
    <row r="18" spans="27:27">
      <c r="AA18" s="201"/>
    </row>
  </sheetData>
  <mergeCells count="20">
    <mergeCell ref="S16:T16"/>
    <mergeCell ref="U16:V16"/>
    <mergeCell ref="C16:E16"/>
    <mergeCell ref="F16:H16"/>
    <mergeCell ref="I16:J16"/>
    <mergeCell ref="K16:M16"/>
    <mergeCell ref="N16:Q16"/>
    <mergeCell ref="A5:AA5"/>
    <mergeCell ref="A10:C10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A9:C9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O24"/>
  <sheetViews>
    <sheetView rightToLeft="1" view="pageBreakPreview" topLeftCell="B1" zoomScale="80" zoomScaleNormal="100" zoomScaleSheetLayoutView="80" workbookViewId="0">
      <selection activeCell="D24" sqref="D24"/>
    </sheetView>
  </sheetViews>
  <sheetFormatPr defaultRowHeight="30" customHeight="1"/>
  <cols>
    <col min="1" max="1" width="5.140625" style="20" customWidth="1"/>
    <col min="2" max="2" width="23.5703125" style="20" customWidth="1"/>
    <col min="3" max="3" width="1.28515625" style="20" customWidth="1"/>
    <col min="4" max="4" width="13.140625" style="20" customWidth="1"/>
    <col min="5" max="5" width="1.28515625" style="20" customWidth="1"/>
    <col min="6" max="6" width="15" style="20" customWidth="1"/>
    <col min="7" max="7" width="1.28515625" style="20" customWidth="1"/>
    <col min="8" max="8" width="13" style="20" customWidth="1"/>
    <col min="9" max="9" width="1.28515625" style="20" customWidth="1"/>
    <col min="10" max="10" width="13" style="20" customWidth="1"/>
    <col min="11" max="11" width="1.28515625" style="20" customWidth="1"/>
    <col min="12" max="12" width="8.85546875" style="20" customWidth="1"/>
    <col min="13" max="13" width="1.28515625" style="20" customWidth="1"/>
    <col min="14" max="14" width="13" style="20" customWidth="1"/>
    <col min="15" max="15" width="1.28515625" style="20" customWidth="1"/>
    <col min="16" max="16" width="13" style="20" customWidth="1"/>
    <col min="17" max="17" width="1.28515625" style="20" customWidth="1"/>
    <col min="18" max="18" width="18.5703125" style="20" customWidth="1"/>
    <col min="19" max="19" width="1.28515625" style="20" customWidth="1"/>
    <col min="20" max="20" width="18.85546875" style="20" customWidth="1"/>
    <col min="21" max="21" width="1.28515625" style="20" customWidth="1"/>
    <col min="22" max="22" width="13" style="20" customWidth="1"/>
    <col min="23" max="23" width="1.28515625" style="20" customWidth="1"/>
    <col min="24" max="24" width="18.5703125" style="20" customWidth="1"/>
    <col min="25" max="25" width="1.28515625" style="20" customWidth="1"/>
    <col min="26" max="26" width="13" style="20" customWidth="1"/>
    <col min="27" max="27" width="1.28515625" style="20" customWidth="1"/>
    <col min="28" max="28" width="15.7109375" style="20" bestFit="1" customWidth="1"/>
    <col min="29" max="29" width="1.28515625" style="20" customWidth="1"/>
    <col min="30" max="30" width="15.5703125" style="20" customWidth="1"/>
    <col min="31" max="31" width="1.28515625" style="20" customWidth="1"/>
    <col min="32" max="32" width="15.5703125" style="20" customWidth="1"/>
    <col min="33" max="33" width="1.28515625" style="20" customWidth="1"/>
    <col min="34" max="34" width="18.5703125" style="20" bestFit="1" customWidth="1"/>
    <col min="35" max="35" width="0.7109375" style="20" customWidth="1"/>
    <col min="36" max="36" width="19.28515625" style="20" bestFit="1" customWidth="1"/>
    <col min="37" max="37" width="1.28515625" style="20" customWidth="1"/>
    <col min="38" max="38" width="13" style="43" customWidth="1"/>
    <col min="39" max="39" width="1.85546875" style="20" hidden="1" customWidth="1"/>
    <col min="40" max="40" width="20.5703125" style="20" bestFit="1" customWidth="1"/>
    <col min="41" max="41" width="9.140625" style="43"/>
    <col min="42" max="16384" width="9.140625" style="20"/>
  </cols>
  <sheetData>
    <row r="1" spans="1:41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</row>
    <row r="2" spans="1:41" ht="30" customHeight="1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</row>
    <row r="3" spans="1:41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</row>
    <row r="4" spans="1:41" s="21" customFormat="1" ht="30" customHeight="1">
      <c r="A4" s="221" t="s">
        <v>248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O4" s="76"/>
    </row>
    <row r="5" spans="1:41" ht="30" customHeight="1">
      <c r="A5" s="223" t="s">
        <v>42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 t="s">
        <v>243</v>
      </c>
      <c r="Q5" s="223"/>
      <c r="R5" s="223"/>
      <c r="S5" s="223"/>
      <c r="T5" s="223"/>
      <c r="V5" s="223" t="s">
        <v>2</v>
      </c>
      <c r="W5" s="223"/>
      <c r="X5" s="223"/>
      <c r="Y5" s="223"/>
      <c r="Z5" s="223"/>
      <c r="AA5" s="223"/>
      <c r="AB5" s="223"/>
      <c r="AD5" s="223" t="s">
        <v>285</v>
      </c>
      <c r="AE5" s="223"/>
      <c r="AF5" s="223"/>
      <c r="AG5" s="223"/>
      <c r="AH5" s="223"/>
      <c r="AI5" s="223"/>
      <c r="AJ5" s="223"/>
      <c r="AK5" s="223"/>
      <c r="AL5" s="223"/>
    </row>
    <row r="6" spans="1:41" ht="30" customHeight="1">
      <c r="A6" s="37"/>
      <c r="B6" s="37"/>
      <c r="C6" s="37"/>
      <c r="D6" s="230" t="s">
        <v>44</v>
      </c>
      <c r="E6" s="37"/>
      <c r="F6" s="230" t="s">
        <v>45</v>
      </c>
      <c r="G6" s="37"/>
      <c r="H6" s="230" t="s">
        <v>46</v>
      </c>
      <c r="I6" s="37"/>
      <c r="J6" s="232" t="s">
        <v>47</v>
      </c>
      <c r="K6" s="37"/>
      <c r="L6" s="230" t="s">
        <v>48</v>
      </c>
      <c r="M6" s="37"/>
      <c r="N6" s="232" t="s">
        <v>20</v>
      </c>
      <c r="O6" s="37"/>
      <c r="P6" s="232" t="s">
        <v>6</v>
      </c>
      <c r="Q6" s="37"/>
      <c r="R6" s="232" t="s">
        <v>7</v>
      </c>
      <c r="S6" s="37"/>
      <c r="T6" s="232" t="s">
        <v>8</v>
      </c>
      <c r="V6" s="224" t="s">
        <v>3</v>
      </c>
      <c r="W6" s="224"/>
      <c r="X6" s="224"/>
      <c r="Y6" s="37"/>
      <c r="Z6" s="224" t="s">
        <v>4</v>
      </c>
      <c r="AA6" s="224"/>
      <c r="AB6" s="224"/>
      <c r="AD6" s="37"/>
      <c r="AE6" s="37"/>
      <c r="AF6" s="37"/>
      <c r="AG6" s="37"/>
      <c r="AH6" s="37"/>
      <c r="AI6" s="37"/>
      <c r="AJ6" s="37"/>
      <c r="AK6" s="37"/>
      <c r="AL6" s="41"/>
    </row>
    <row r="7" spans="1:41" ht="40.5" customHeight="1">
      <c r="A7" s="223" t="s">
        <v>43</v>
      </c>
      <c r="B7" s="223"/>
      <c r="D7" s="231"/>
      <c r="F7" s="231"/>
      <c r="H7" s="231"/>
      <c r="J7" s="233"/>
      <c r="L7" s="231"/>
      <c r="N7" s="233"/>
      <c r="P7" s="233"/>
      <c r="R7" s="233"/>
      <c r="T7" s="233"/>
      <c r="V7" s="2" t="s">
        <v>6</v>
      </c>
      <c r="W7" s="37"/>
      <c r="X7" s="2" t="s">
        <v>7</v>
      </c>
      <c r="Z7" s="2" t="s">
        <v>6</v>
      </c>
      <c r="AA7" s="37"/>
      <c r="AB7" s="2" t="s">
        <v>9</v>
      </c>
      <c r="AD7" s="1" t="s">
        <v>6</v>
      </c>
      <c r="AF7" s="1" t="s">
        <v>10</v>
      </c>
      <c r="AH7" s="1" t="s">
        <v>7</v>
      </c>
      <c r="AJ7" s="1" t="s">
        <v>8</v>
      </c>
      <c r="AL7" s="42" t="s">
        <v>11</v>
      </c>
    </row>
    <row r="8" spans="1:41" ht="30" customHeight="1">
      <c r="A8" s="228" t="s">
        <v>49</v>
      </c>
      <c r="B8" s="228"/>
      <c r="D8" s="12" t="s">
        <v>50</v>
      </c>
      <c r="E8" s="22"/>
      <c r="F8" s="12" t="s">
        <v>50</v>
      </c>
      <c r="G8" s="22"/>
      <c r="H8" s="12" t="s">
        <v>51</v>
      </c>
      <c r="I8" s="22"/>
      <c r="J8" s="12" t="s">
        <v>52</v>
      </c>
      <c r="L8" s="203">
        <v>0</v>
      </c>
      <c r="M8" s="204"/>
      <c r="N8" s="203">
        <v>0</v>
      </c>
      <c r="P8" s="8">
        <v>16889</v>
      </c>
      <c r="Q8" s="22"/>
      <c r="R8" s="8">
        <v>9272932505</v>
      </c>
      <c r="S8" s="22"/>
      <c r="T8" s="8">
        <v>9609618951</v>
      </c>
      <c r="U8" s="22"/>
      <c r="V8" s="8">
        <f>AD8-P8</f>
        <v>10000</v>
      </c>
      <c r="W8" s="22"/>
      <c r="X8" s="8">
        <v>5676428665</v>
      </c>
      <c r="Z8" s="8">
        <v>0</v>
      </c>
      <c r="AA8" s="22"/>
      <c r="AB8" s="8">
        <v>0</v>
      </c>
      <c r="AC8" s="22"/>
      <c r="AD8" s="8">
        <v>26889</v>
      </c>
      <c r="AE8" s="22"/>
      <c r="AF8" s="8">
        <v>570830</v>
      </c>
      <c r="AG8" s="22"/>
      <c r="AH8" s="8">
        <v>14949361170</v>
      </c>
      <c r="AI8" s="22"/>
      <c r="AJ8" s="8">
        <v>15346265855</v>
      </c>
      <c r="AK8" s="22"/>
      <c r="AL8" s="185">
        <v>3.0000000000000001E-3</v>
      </c>
      <c r="AN8" s="75"/>
    </row>
    <row r="9" spans="1:41" ht="30" customHeight="1">
      <c r="A9" s="229" t="s">
        <v>53</v>
      </c>
      <c r="B9" s="229"/>
      <c r="D9" s="16" t="s">
        <v>50</v>
      </c>
      <c r="E9" s="22"/>
      <c r="F9" s="16" t="s">
        <v>50</v>
      </c>
      <c r="G9" s="22"/>
      <c r="H9" s="16" t="s">
        <v>51</v>
      </c>
      <c r="I9" s="22"/>
      <c r="J9" s="16" t="s">
        <v>54</v>
      </c>
      <c r="L9" s="205">
        <v>0</v>
      </c>
      <c r="M9" s="204"/>
      <c r="N9" s="205">
        <v>0</v>
      </c>
      <c r="P9" s="9">
        <v>54000</v>
      </c>
      <c r="Q9" s="22"/>
      <c r="R9" s="9">
        <v>24302564023</v>
      </c>
      <c r="S9" s="22"/>
      <c r="T9" s="9">
        <v>28711995008</v>
      </c>
      <c r="U9" s="22"/>
      <c r="V9" s="9">
        <f>AD9-P9</f>
        <v>83930</v>
      </c>
      <c r="W9" s="22"/>
      <c r="X9" s="9">
        <v>45075870938</v>
      </c>
      <c r="Z9" s="9">
        <v>0</v>
      </c>
      <c r="AA9" s="22"/>
      <c r="AB9" s="9">
        <v>0</v>
      </c>
      <c r="AC9" s="22"/>
      <c r="AD9" s="9">
        <v>137930</v>
      </c>
      <c r="AE9" s="22"/>
      <c r="AF9" s="9">
        <v>531900</v>
      </c>
      <c r="AG9" s="22"/>
      <c r="AH9" s="9">
        <v>69378434961</v>
      </c>
      <c r="AI9" s="22"/>
      <c r="AJ9" s="9">
        <v>73351669600</v>
      </c>
      <c r="AK9" s="22"/>
      <c r="AL9" s="186">
        <v>1.4500000000000001E-2</v>
      </c>
      <c r="AN9" s="75"/>
    </row>
    <row r="10" spans="1:41" ht="30" customHeight="1">
      <c r="A10" s="229" t="s">
        <v>55</v>
      </c>
      <c r="B10" s="229"/>
      <c r="D10" s="16" t="s">
        <v>50</v>
      </c>
      <c r="E10" s="22"/>
      <c r="F10" s="16" t="s">
        <v>50</v>
      </c>
      <c r="G10" s="22"/>
      <c r="H10" s="16" t="s">
        <v>56</v>
      </c>
      <c r="I10" s="22"/>
      <c r="J10" s="16" t="s">
        <v>57</v>
      </c>
      <c r="L10" s="205">
        <v>0</v>
      </c>
      <c r="M10" s="204"/>
      <c r="N10" s="205">
        <v>0</v>
      </c>
      <c r="P10" s="9">
        <v>30935</v>
      </c>
      <c r="Q10" s="22"/>
      <c r="R10" s="9">
        <v>18433775975</v>
      </c>
      <c r="S10" s="22"/>
      <c r="T10" s="9">
        <v>19255712219</v>
      </c>
      <c r="U10" s="22"/>
      <c r="V10" s="9">
        <f>AD10-P10</f>
        <v>30833</v>
      </c>
      <c r="W10" s="22"/>
      <c r="X10" s="9">
        <v>19307821393</v>
      </c>
      <c r="Z10" s="9">
        <v>0</v>
      </c>
      <c r="AA10" s="22"/>
      <c r="AB10" s="9">
        <v>0</v>
      </c>
      <c r="AC10" s="22"/>
      <c r="AD10" s="9">
        <v>61768</v>
      </c>
      <c r="AE10" s="22"/>
      <c r="AF10" s="9">
        <v>625030</v>
      </c>
      <c r="AG10" s="22"/>
      <c r="AH10" s="9">
        <v>37741597368</v>
      </c>
      <c r="AI10" s="22"/>
      <c r="AJ10" s="9">
        <v>38599855548</v>
      </c>
      <c r="AK10" s="22"/>
      <c r="AL10" s="186">
        <v>7.6E-3</v>
      </c>
      <c r="AN10" s="75"/>
    </row>
    <row r="11" spans="1:41" ht="30" customHeight="1">
      <c r="A11" s="229" t="s">
        <v>82</v>
      </c>
      <c r="B11" s="229"/>
      <c r="D11" s="16" t="s">
        <v>50</v>
      </c>
      <c r="E11" s="22"/>
      <c r="F11" s="16" t="s">
        <v>50</v>
      </c>
      <c r="G11" s="22"/>
      <c r="H11" s="16" t="s">
        <v>51</v>
      </c>
      <c r="I11" s="22"/>
      <c r="J11" s="16" t="s">
        <v>83</v>
      </c>
      <c r="L11" s="205">
        <v>0</v>
      </c>
      <c r="M11" s="204"/>
      <c r="N11" s="205">
        <v>0</v>
      </c>
      <c r="P11" s="9">
        <v>39872</v>
      </c>
      <c r="Q11" s="22"/>
      <c r="R11" s="9">
        <v>21126676265</v>
      </c>
      <c r="S11" s="22"/>
      <c r="T11" s="9">
        <v>21783308020</v>
      </c>
      <c r="U11" s="22"/>
      <c r="V11" s="9">
        <v>125871</v>
      </c>
      <c r="W11" s="22"/>
      <c r="X11" s="9">
        <v>68951399596</v>
      </c>
      <c r="Z11" s="9"/>
      <c r="AA11" s="22"/>
      <c r="AB11" s="9"/>
      <c r="AC11" s="22"/>
      <c r="AD11" s="9">
        <v>165743</v>
      </c>
      <c r="AE11" s="22"/>
      <c r="AF11" s="9">
        <v>545960</v>
      </c>
      <c r="AG11" s="22"/>
      <c r="AH11" s="9">
        <v>90078075861</v>
      </c>
      <c r="AI11" s="22"/>
      <c r="AJ11" s="9">
        <v>90472647140</v>
      </c>
      <c r="AK11" s="22"/>
      <c r="AL11" s="186">
        <v>1.7899999999999999E-2</v>
      </c>
      <c r="AN11" s="75"/>
    </row>
    <row r="12" spans="1:41" ht="30" customHeight="1">
      <c r="A12" s="229" t="s">
        <v>58</v>
      </c>
      <c r="B12" s="229"/>
      <c r="D12" s="16" t="s">
        <v>50</v>
      </c>
      <c r="E12" s="22"/>
      <c r="F12" s="16" t="s">
        <v>50</v>
      </c>
      <c r="G12" s="22"/>
      <c r="H12" s="16" t="s">
        <v>56</v>
      </c>
      <c r="I12" s="22"/>
      <c r="J12" s="16" t="s">
        <v>59</v>
      </c>
      <c r="L12" s="205">
        <v>0</v>
      </c>
      <c r="M12" s="204"/>
      <c r="N12" s="205">
        <v>0</v>
      </c>
      <c r="P12" s="9">
        <v>11813</v>
      </c>
      <c r="Q12" s="22"/>
      <c r="R12" s="9">
        <v>6129649183</v>
      </c>
      <c r="S12" s="22"/>
      <c r="T12" s="9">
        <v>6425107238</v>
      </c>
      <c r="U12" s="22"/>
      <c r="V12" s="9">
        <f>AD12-P12</f>
        <v>28302</v>
      </c>
      <c r="W12" s="22"/>
      <c r="X12" s="206">
        <v>15463037148</v>
      </c>
      <c r="Z12" s="9">
        <v>0</v>
      </c>
      <c r="AA12" s="22"/>
      <c r="AB12" s="9">
        <v>0</v>
      </c>
      <c r="AC12" s="22"/>
      <c r="AD12" s="9">
        <v>40115</v>
      </c>
      <c r="AE12" s="22"/>
      <c r="AF12" s="9">
        <v>542440</v>
      </c>
      <c r="AG12" s="22"/>
      <c r="AH12" s="9">
        <v>21592686331</v>
      </c>
      <c r="AI12" s="22"/>
      <c r="AJ12" s="9">
        <v>21756036603</v>
      </c>
      <c r="AK12" s="22"/>
      <c r="AL12" s="186">
        <v>4.3E-3</v>
      </c>
      <c r="AN12" s="75"/>
    </row>
    <row r="13" spans="1:41" ht="30" customHeight="1">
      <c r="A13" s="229" t="s">
        <v>60</v>
      </c>
      <c r="B13" s="229"/>
      <c r="D13" s="16" t="s">
        <v>50</v>
      </c>
      <c r="E13" s="22"/>
      <c r="F13" s="16" t="s">
        <v>50</v>
      </c>
      <c r="G13" s="22"/>
      <c r="H13" s="16" t="s">
        <v>61</v>
      </c>
      <c r="I13" s="22"/>
      <c r="J13" s="16" t="s">
        <v>62</v>
      </c>
      <c r="L13" s="205">
        <v>0.23</v>
      </c>
      <c r="M13" s="204"/>
      <c r="N13" s="205">
        <v>0.23</v>
      </c>
      <c r="P13" s="9">
        <v>500000</v>
      </c>
      <c r="Q13" s="22"/>
      <c r="R13" s="9">
        <v>500000000000</v>
      </c>
      <c r="S13" s="22"/>
      <c r="T13" s="9">
        <v>499909375000</v>
      </c>
      <c r="U13" s="22"/>
      <c r="V13" s="9"/>
      <c r="W13" s="22"/>
      <c r="X13" s="9"/>
      <c r="Z13" s="9">
        <v>0</v>
      </c>
      <c r="AA13" s="22"/>
      <c r="AB13" s="9">
        <v>0</v>
      </c>
      <c r="AC13" s="22"/>
      <c r="AD13" s="9">
        <v>500000</v>
      </c>
      <c r="AE13" s="22"/>
      <c r="AF13" s="9">
        <v>1000000</v>
      </c>
      <c r="AG13" s="22"/>
      <c r="AH13" s="9">
        <v>500000000000</v>
      </c>
      <c r="AI13" s="22"/>
      <c r="AJ13" s="9">
        <v>499909375000</v>
      </c>
      <c r="AK13" s="22"/>
      <c r="AL13" s="186">
        <v>9.8799999999999999E-2</v>
      </c>
      <c r="AN13" s="75"/>
    </row>
    <row r="14" spans="1:41" ht="30" customHeight="1">
      <c r="A14" s="229" t="s">
        <v>63</v>
      </c>
      <c r="B14" s="229"/>
      <c r="D14" s="16" t="s">
        <v>50</v>
      </c>
      <c r="E14" s="22"/>
      <c r="F14" s="16" t="s">
        <v>50</v>
      </c>
      <c r="G14" s="22"/>
      <c r="H14" s="16" t="s">
        <v>64</v>
      </c>
      <c r="I14" s="22"/>
      <c r="J14" s="16" t="s">
        <v>65</v>
      </c>
      <c r="L14" s="205">
        <v>0.23</v>
      </c>
      <c r="M14" s="204"/>
      <c r="N14" s="205">
        <v>0.23</v>
      </c>
      <c r="P14" s="9">
        <v>455000</v>
      </c>
      <c r="Q14" s="22"/>
      <c r="R14" s="9">
        <v>455120924375</v>
      </c>
      <c r="S14" s="22"/>
      <c r="T14" s="9">
        <v>464015881875</v>
      </c>
      <c r="U14" s="22"/>
      <c r="V14" s="9"/>
      <c r="W14" s="22"/>
      <c r="X14" s="9"/>
      <c r="Z14" s="9">
        <v>0</v>
      </c>
      <c r="AA14" s="22"/>
      <c r="AB14" s="9">
        <v>0</v>
      </c>
      <c r="AC14" s="22"/>
      <c r="AD14" s="9">
        <v>455000</v>
      </c>
      <c r="AE14" s="22"/>
      <c r="AF14" s="9">
        <v>1020000</v>
      </c>
      <c r="AG14" s="22"/>
      <c r="AH14" s="9">
        <v>455120924375</v>
      </c>
      <c r="AI14" s="22"/>
      <c r="AJ14" s="9">
        <v>464015881875</v>
      </c>
      <c r="AK14" s="22"/>
      <c r="AL14" s="186">
        <v>9.1700000000000004E-2</v>
      </c>
      <c r="AN14" s="75"/>
    </row>
    <row r="15" spans="1:41" ht="30" customHeight="1">
      <c r="A15" s="229" t="s">
        <v>68</v>
      </c>
      <c r="B15" s="229"/>
      <c r="D15" s="16" t="s">
        <v>50</v>
      </c>
      <c r="E15" s="22"/>
      <c r="F15" s="16" t="s">
        <v>50</v>
      </c>
      <c r="G15" s="22"/>
      <c r="H15" s="16" t="s">
        <v>69</v>
      </c>
      <c r="I15" s="22"/>
      <c r="J15" s="16" t="s">
        <v>70</v>
      </c>
      <c r="L15" s="205">
        <v>0.18</v>
      </c>
      <c r="M15" s="204"/>
      <c r="N15" s="205">
        <v>0.18</v>
      </c>
      <c r="P15" s="9">
        <v>465000</v>
      </c>
      <c r="Q15" s="22"/>
      <c r="R15" s="9">
        <v>425670810926</v>
      </c>
      <c r="S15" s="22"/>
      <c r="T15" s="9">
        <v>442832222109</v>
      </c>
      <c r="U15" s="22"/>
      <c r="V15" s="9"/>
      <c r="W15" s="22"/>
      <c r="X15" s="9"/>
      <c r="Z15" s="164">
        <v>20000</v>
      </c>
      <c r="AA15" s="22"/>
      <c r="AB15" s="9">
        <v>19496465625</v>
      </c>
      <c r="AC15" s="22"/>
      <c r="AD15" s="9">
        <v>445000</v>
      </c>
      <c r="AE15" s="22"/>
      <c r="AF15" s="9">
        <v>952500</v>
      </c>
      <c r="AG15" s="22"/>
      <c r="AH15" s="9">
        <v>407362388951</v>
      </c>
      <c r="AI15" s="22"/>
      <c r="AJ15" s="9">
        <v>423785674922</v>
      </c>
      <c r="AK15" s="22"/>
      <c r="AL15" s="186">
        <v>8.3799999999999999E-2</v>
      </c>
      <c r="AN15" s="75"/>
    </row>
    <row r="16" spans="1:41" ht="30" customHeight="1">
      <c r="A16" s="229" t="s">
        <v>71</v>
      </c>
      <c r="B16" s="229"/>
      <c r="D16" s="16" t="s">
        <v>50</v>
      </c>
      <c r="E16" s="22"/>
      <c r="F16" s="16" t="s">
        <v>50</v>
      </c>
      <c r="G16" s="22"/>
      <c r="H16" s="16" t="s">
        <v>72</v>
      </c>
      <c r="I16" s="22"/>
      <c r="J16" s="16" t="s">
        <v>73</v>
      </c>
      <c r="L16" s="207">
        <v>0.20499999999999999</v>
      </c>
      <c r="M16" s="208"/>
      <c r="N16" s="207">
        <v>0.20499999999999999</v>
      </c>
      <c r="P16" s="9">
        <v>95000</v>
      </c>
      <c r="Q16" s="22"/>
      <c r="R16" s="9">
        <v>89772579934</v>
      </c>
      <c r="S16" s="22"/>
      <c r="T16" s="9">
        <v>88580941794</v>
      </c>
      <c r="U16" s="22"/>
      <c r="V16" s="9"/>
      <c r="W16" s="22"/>
      <c r="X16" s="9"/>
      <c r="Z16" s="9">
        <v>0</v>
      </c>
      <c r="AA16" s="22"/>
      <c r="AB16" s="9">
        <v>0</v>
      </c>
      <c r="AC16" s="22"/>
      <c r="AD16" s="9">
        <v>95000</v>
      </c>
      <c r="AE16" s="22"/>
      <c r="AF16" s="9">
        <v>925500</v>
      </c>
      <c r="AG16" s="22"/>
      <c r="AH16" s="9">
        <v>89772579934</v>
      </c>
      <c r="AI16" s="22"/>
      <c r="AJ16" s="9">
        <v>87906564047</v>
      </c>
      <c r="AK16" s="22"/>
      <c r="AL16" s="186">
        <v>1.7399999999999999E-2</v>
      </c>
      <c r="AN16" s="75"/>
    </row>
    <row r="17" spans="1:41" ht="30" customHeight="1">
      <c r="A17" s="229" t="s">
        <v>74</v>
      </c>
      <c r="B17" s="229"/>
      <c r="D17" s="16" t="s">
        <v>50</v>
      </c>
      <c r="E17" s="22"/>
      <c r="F17" s="16" t="s">
        <v>50</v>
      </c>
      <c r="G17" s="22"/>
      <c r="H17" s="16" t="s">
        <v>75</v>
      </c>
      <c r="I17" s="22"/>
      <c r="J17" s="16" t="s">
        <v>76</v>
      </c>
      <c r="L17" s="207">
        <v>0.20499999999999999</v>
      </c>
      <c r="M17" s="208"/>
      <c r="N17" s="207">
        <v>0.20499999999999999</v>
      </c>
      <c r="P17" s="9">
        <v>102957</v>
      </c>
      <c r="Q17" s="22"/>
      <c r="R17" s="9">
        <v>99760185150</v>
      </c>
      <c r="S17" s="22"/>
      <c r="T17" s="9">
        <v>101908955653</v>
      </c>
      <c r="U17" s="22"/>
      <c r="V17" s="9"/>
      <c r="W17" s="22"/>
      <c r="X17" s="9"/>
      <c r="Z17" s="9">
        <v>0</v>
      </c>
      <c r="AA17" s="22"/>
      <c r="AB17" s="9">
        <v>0</v>
      </c>
      <c r="AC17" s="22"/>
      <c r="AD17" s="9">
        <v>102957</v>
      </c>
      <c r="AE17" s="22"/>
      <c r="AF17" s="9">
        <v>990000</v>
      </c>
      <c r="AG17" s="22"/>
      <c r="AH17" s="9">
        <v>99760185150</v>
      </c>
      <c r="AI17" s="22"/>
      <c r="AJ17" s="9">
        <v>101908955653</v>
      </c>
      <c r="AK17" s="22"/>
      <c r="AL17" s="186">
        <v>2.01E-2</v>
      </c>
      <c r="AN17" s="75"/>
    </row>
    <row r="18" spans="1:41" ht="30" customHeight="1">
      <c r="A18" s="229" t="s">
        <v>77</v>
      </c>
      <c r="B18" s="229"/>
      <c r="D18" s="16" t="s">
        <v>50</v>
      </c>
      <c r="E18" s="22"/>
      <c r="F18" s="16" t="s">
        <v>50</v>
      </c>
      <c r="G18" s="22"/>
      <c r="H18" s="16" t="s">
        <v>75</v>
      </c>
      <c r="I18" s="22"/>
      <c r="J18" s="16" t="s">
        <v>78</v>
      </c>
      <c r="L18" s="207">
        <v>0.20499999999999999</v>
      </c>
      <c r="M18" s="208"/>
      <c r="N18" s="207">
        <v>0.20499999999999999</v>
      </c>
      <c r="P18" s="9">
        <v>106340</v>
      </c>
      <c r="Q18" s="22"/>
      <c r="R18" s="9">
        <v>99759680800</v>
      </c>
      <c r="S18" s="22"/>
      <c r="T18" s="9">
        <v>101111010307</v>
      </c>
      <c r="U18" s="22"/>
      <c r="V18" s="9"/>
      <c r="W18" s="22"/>
      <c r="X18" s="9"/>
      <c r="Z18" s="9">
        <v>0</v>
      </c>
      <c r="AA18" s="22"/>
      <c r="AB18" s="9">
        <v>0</v>
      </c>
      <c r="AC18" s="22"/>
      <c r="AD18" s="9">
        <v>106340</v>
      </c>
      <c r="AE18" s="22"/>
      <c r="AF18" s="9">
        <v>951000</v>
      </c>
      <c r="AG18" s="22"/>
      <c r="AH18" s="9">
        <v>99759680800</v>
      </c>
      <c r="AI18" s="22"/>
      <c r="AJ18" s="9">
        <v>101111010307</v>
      </c>
      <c r="AK18" s="22"/>
      <c r="AL18" s="186">
        <v>0.02</v>
      </c>
      <c r="AN18" s="75"/>
    </row>
    <row r="19" spans="1:41" ht="30" customHeight="1">
      <c r="A19" s="229" t="s">
        <v>79</v>
      </c>
      <c r="B19" s="229"/>
      <c r="D19" s="16" t="s">
        <v>50</v>
      </c>
      <c r="E19" s="22"/>
      <c r="F19" s="16" t="s">
        <v>50</v>
      </c>
      <c r="G19" s="22"/>
      <c r="H19" s="16" t="s">
        <v>80</v>
      </c>
      <c r="I19" s="22"/>
      <c r="J19" s="16" t="s">
        <v>81</v>
      </c>
      <c r="L19" s="205">
        <v>0.23</v>
      </c>
      <c r="M19" s="204"/>
      <c r="N19" s="205">
        <v>0.23</v>
      </c>
      <c r="P19" s="9">
        <v>200000</v>
      </c>
      <c r="Q19" s="22"/>
      <c r="R19" s="9">
        <v>200000000000</v>
      </c>
      <c r="S19" s="22"/>
      <c r="T19" s="9">
        <v>199963750000</v>
      </c>
      <c r="U19" s="22"/>
      <c r="V19" s="9"/>
      <c r="W19" s="22"/>
      <c r="X19" s="9"/>
      <c r="Z19" s="9">
        <v>0</v>
      </c>
      <c r="AA19" s="22"/>
      <c r="AB19" s="9">
        <v>0</v>
      </c>
      <c r="AC19" s="22"/>
      <c r="AD19" s="9">
        <v>200000</v>
      </c>
      <c r="AE19" s="22"/>
      <c r="AF19" s="9">
        <v>1000000</v>
      </c>
      <c r="AG19" s="22"/>
      <c r="AH19" s="9">
        <v>200000000000</v>
      </c>
      <c r="AI19" s="22"/>
      <c r="AJ19" s="9">
        <v>199963750000</v>
      </c>
      <c r="AK19" s="22"/>
      <c r="AL19" s="186">
        <v>3.95E-2</v>
      </c>
      <c r="AN19" s="75"/>
    </row>
    <row r="20" spans="1:41" ht="30" customHeight="1">
      <c r="A20" s="229" t="s">
        <v>244</v>
      </c>
      <c r="B20" s="229"/>
      <c r="D20" s="16" t="s">
        <v>50</v>
      </c>
      <c r="E20" s="22"/>
      <c r="F20" s="16" t="s">
        <v>50</v>
      </c>
      <c r="G20" s="22"/>
      <c r="H20" s="16" t="s">
        <v>245</v>
      </c>
      <c r="I20" s="22"/>
      <c r="J20" s="16" t="s">
        <v>246</v>
      </c>
      <c r="L20" s="205">
        <v>0</v>
      </c>
      <c r="M20" s="204"/>
      <c r="N20" s="205">
        <v>0</v>
      </c>
      <c r="P20" s="9">
        <v>2000</v>
      </c>
      <c r="Q20" s="22"/>
      <c r="R20" s="9">
        <v>1045189405</v>
      </c>
      <c r="S20" s="22"/>
      <c r="T20" s="9">
        <v>1047790054</v>
      </c>
      <c r="U20" s="22"/>
      <c r="V20" s="9">
        <f>AD20-P20</f>
        <v>237529</v>
      </c>
      <c r="W20" s="22"/>
      <c r="X20" s="9">
        <v>124696545662</v>
      </c>
      <c r="Z20" s="9">
        <v>0</v>
      </c>
      <c r="AA20" s="22"/>
      <c r="AB20" s="9">
        <v>0</v>
      </c>
      <c r="AC20" s="22"/>
      <c r="AD20" s="9">
        <v>239529</v>
      </c>
      <c r="AE20" s="22"/>
      <c r="AF20" s="9">
        <v>522200</v>
      </c>
      <c r="AG20" s="22"/>
      <c r="AH20" s="9">
        <v>125741735067</v>
      </c>
      <c r="AI20" s="22"/>
      <c r="AJ20" s="9">
        <v>125059372680</v>
      </c>
      <c r="AK20" s="22"/>
      <c r="AL20" s="186">
        <v>2.47E-2</v>
      </c>
      <c r="AN20" s="75"/>
    </row>
    <row r="21" spans="1:41" ht="30" customHeight="1">
      <c r="A21" s="229" t="s">
        <v>307</v>
      </c>
      <c r="B21" s="229"/>
      <c r="D21" s="16" t="s">
        <v>50</v>
      </c>
      <c r="E21" s="22"/>
      <c r="F21" s="16" t="s">
        <v>50</v>
      </c>
      <c r="G21" s="22"/>
      <c r="H21" s="16" t="s">
        <v>311</v>
      </c>
      <c r="I21" s="22"/>
      <c r="J21" s="16" t="s">
        <v>297</v>
      </c>
      <c r="L21" s="205">
        <v>0.23</v>
      </c>
      <c r="M21" s="204"/>
      <c r="N21" s="205">
        <v>0.23</v>
      </c>
      <c r="P21" s="9">
        <v>0</v>
      </c>
      <c r="Q21" s="22"/>
      <c r="R21" s="9">
        <v>0</v>
      </c>
      <c r="S21" s="22"/>
      <c r="T21" s="9">
        <v>0</v>
      </c>
      <c r="U21" s="22"/>
      <c r="V21" s="9">
        <v>500000</v>
      </c>
      <c r="W21" s="22"/>
      <c r="X21" s="9">
        <v>500000000000</v>
      </c>
      <c r="Z21" s="9">
        <v>0</v>
      </c>
      <c r="AA21" s="22"/>
      <c r="AB21" s="9">
        <v>0</v>
      </c>
      <c r="AC21" s="22"/>
      <c r="AD21" s="9">
        <v>500000</v>
      </c>
      <c r="AE21" s="22"/>
      <c r="AF21" s="9">
        <v>1000000</v>
      </c>
      <c r="AG21" s="22"/>
      <c r="AH21" s="9">
        <v>500000000000</v>
      </c>
      <c r="AI21" s="22"/>
      <c r="AJ21" s="9">
        <v>499909375000</v>
      </c>
      <c r="AK21" s="22"/>
      <c r="AL21" s="186">
        <v>9.8799999999999999E-2</v>
      </c>
      <c r="AN21" s="75"/>
    </row>
    <row r="22" spans="1:41" ht="30" customHeight="1">
      <c r="A22" s="234" t="s">
        <v>304</v>
      </c>
      <c r="B22" s="234"/>
      <c r="D22" s="16" t="s">
        <v>310</v>
      </c>
      <c r="E22" s="22"/>
      <c r="F22" s="16" t="s">
        <v>310</v>
      </c>
      <c r="G22" s="22"/>
      <c r="H22" s="16" t="s">
        <v>312</v>
      </c>
      <c r="I22" s="22"/>
      <c r="J22" s="16" t="s">
        <v>305</v>
      </c>
      <c r="L22" s="16">
        <v>20.5</v>
      </c>
      <c r="M22" s="204"/>
      <c r="N22" s="16">
        <v>20.5</v>
      </c>
      <c r="P22" s="9">
        <v>0</v>
      </c>
      <c r="Q22" s="22"/>
      <c r="R22" s="9">
        <v>0</v>
      </c>
      <c r="S22" s="22"/>
      <c r="T22" s="9">
        <v>0</v>
      </c>
      <c r="U22" s="22"/>
      <c r="V22" s="9">
        <v>500000</v>
      </c>
      <c r="W22" s="22"/>
      <c r="X22" s="9">
        <v>500000000000</v>
      </c>
      <c r="Z22" s="9">
        <v>0</v>
      </c>
      <c r="AA22" s="22"/>
      <c r="AB22" s="9">
        <v>0</v>
      </c>
      <c r="AC22" s="22"/>
      <c r="AD22" s="9">
        <v>500000</v>
      </c>
      <c r="AE22" s="22"/>
      <c r="AF22" s="9">
        <v>1000000</v>
      </c>
      <c r="AG22" s="22"/>
      <c r="AH22" s="9">
        <v>500000000000</v>
      </c>
      <c r="AI22" s="22"/>
      <c r="AJ22" s="9">
        <v>500000000000</v>
      </c>
      <c r="AK22" s="22"/>
      <c r="AL22" s="186">
        <v>9.8799999999999999E-2</v>
      </c>
      <c r="AN22" s="75"/>
    </row>
    <row r="23" spans="1:41" ht="30" customHeight="1">
      <c r="A23" s="229" t="s">
        <v>309</v>
      </c>
      <c r="B23" s="229"/>
      <c r="D23" s="16" t="s">
        <v>50</v>
      </c>
      <c r="E23" s="22"/>
      <c r="F23" s="16" t="s">
        <v>50</v>
      </c>
      <c r="G23" s="22"/>
      <c r="H23" s="16" t="s">
        <v>214</v>
      </c>
      <c r="I23" s="22"/>
      <c r="J23" s="16" t="s">
        <v>313</v>
      </c>
      <c r="L23" s="205">
        <v>0</v>
      </c>
      <c r="M23" s="204"/>
      <c r="N23" s="205">
        <v>0</v>
      </c>
      <c r="P23" s="9">
        <v>0</v>
      </c>
      <c r="Q23" s="22"/>
      <c r="R23" s="9">
        <v>0</v>
      </c>
      <c r="S23" s="22"/>
      <c r="T23" s="9">
        <v>0</v>
      </c>
      <c r="U23" s="22"/>
      <c r="V23" s="9">
        <v>71034</v>
      </c>
      <c r="W23" s="22"/>
      <c r="X23" s="9">
        <v>48423097093</v>
      </c>
      <c r="Z23" s="9">
        <v>0</v>
      </c>
      <c r="AA23" s="22"/>
      <c r="AB23" s="9">
        <v>0</v>
      </c>
      <c r="AC23" s="22"/>
      <c r="AD23" s="9">
        <v>71034</v>
      </c>
      <c r="AE23" s="22"/>
      <c r="AF23" s="9">
        <v>683500</v>
      </c>
      <c r="AG23" s="22"/>
      <c r="AH23" s="9">
        <v>48423097093</v>
      </c>
      <c r="AI23" s="22"/>
      <c r="AJ23" s="9">
        <v>48542938997</v>
      </c>
      <c r="AK23" s="22"/>
      <c r="AL23" s="186">
        <v>9.5999999999999992E-3</v>
      </c>
      <c r="AN23" s="75"/>
    </row>
    <row r="24" spans="1:41" s="30" customFormat="1" ht="30" customHeight="1" thickBot="1">
      <c r="A24" s="222" t="s">
        <v>14</v>
      </c>
      <c r="B24" s="222"/>
      <c r="D24" s="38"/>
      <c r="F24" s="38"/>
      <c r="H24" s="38"/>
      <c r="J24" s="38"/>
      <c r="L24" s="38"/>
      <c r="N24" s="38"/>
      <c r="P24" s="29">
        <f>SUM(P8:P23)</f>
        <v>2079806</v>
      </c>
      <c r="Q24" s="28"/>
      <c r="R24" s="29">
        <f>SUM(R8:R23)</f>
        <v>1950394968541</v>
      </c>
      <c r="S24" s="28"/>
      <c r="T24" s="29">
        <f>SUM(T8:T23)</f>
        <v>1985155668228</v>
      </c>
      <c r="U24" s="28"/>
      <c r="V24" s="29">
        <f>SUM(V8:V23)</f>
        <v>1587499</v>
      </c>
      <c r="W24" s="28"/>
      <c r="X24" s="29">
        <f>SUM(X8:X23)</f>
        <v>1327594200495</v>
      </c>
      <c r="Y24" s="28"/>
      <c r="Z24" s="29">
        <f>SUM(Z8:Z23)</f>
        <v>20000</v>
      </c>
      <c r="AA24" s="28"/>
      <c r="AB24" s="29">
        <f>SUM(AB8:AB23)</f>
        <v>19496465625</v>
      </c>
      <c r="AC24" s="28"/>
      <c r="AD24" s="29">
        <f>SUM(AD8:AD23)</f>
        <v>3647305</v>
      </c>
      <c r="AE24" s="28"/>
      <c r="AF24" s="27"/>
      <c r="AG24" s="28"/>
      <c r="AH24" s="29">
        <f>SUM(AH8:AH23)</f>
        <v>3259680747061</v>
      </c>
      <c r="AI24" s="28"/>
      <c r="AJ24" s="29">
        <f>SUM(AJ8:AJ23)</f>
        <v>3291639373227</v>
      </c>
      <c r="AK24" s="28"/>
      <c r="AL24" s="209">
        <f>SUM(AL8:AL23)</f>
        <v>0.65050000000000008</v>
      </c>
      <c r="AO24" s="43"/>
    </row>
  </sheetData>
  <mergeCells count="37">
    <mergeCell ref="A24:B2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0:B10"/>
    <mergeCell ref="A12:B12"/>
    <mergeCell ref="A13:B13"/>
    <mergeCell ref="A14:B14"/>
    <mergeCell ref="A11:B11"/>
    <mergeCell ref="V6:X6"/>
    <mergeCell ref="Z6:AB6"/>
    <mergeCell ref="A7:B7"/>
    <mergeCell ref="A8:B8"/>
    <mergeCell ref="A9:B9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:AL1"/>
    <mergeCell ref="A2:AL2"/>
    <mergeCell ref="A3:AL3"/>
    <mergeCell ref="A5:O5"/>
    <mergeCell ref="P5:T5"/>
    <mergeCell ref="V5:AB5"/>
    <mergeCell ref="AD5:AL5"/>
    <mergeCell ref="A4:AL4"/>
  </mergeCells>
  <pageMargins left="0.39" right="0.39" top="0.39" bottom="0.39" header="0" footer="0"/>
  <pageSetup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5"/>
  <sheetViews>
    <sheetView rightToLeft="1" view="pageBreakPreview" zoomScaleNormal="100" zoomScaleSheetLayoutView="100" workbookViewId="0">
      <selection activeCell="A4" sqref="A4"/>
    </sheetView>
  </sheetViews>
  <sheetFormatPr defaultRowHeight="30" customHeight="1"/>
  <cols>
    <col min="1" max="1" width="9" style="82" bestFit="1" customWidth="1"/>
    <col min="2" max="2" width="5.140625" style="82" customWidth="1"/>
    <col min="3" max="3" width="1.28515625" style="82" customWidth="1"/>
    <col min="4" max="4" width="19.7109375" style="82" customWidth="1"/>
    <col min="5" max="5" width="1.28515625" style="82" customWidth="1"/>
    <col min="6" max="6" width="29.140625" style="82" bestFit="1" customWidth="1"/>
    <col min="7" max="7" width="1.28515625" style="82" customWidth="1"/>
    <col min="8" max="8" width="13.7109375" style="82" bestFit="1" customWidth="1"/>
    <col min="9" max="9" width="1.28515625" style="82" customWidth="1"/>
    <col min="10" max="10" width="10.42578125" style="82" customWidth="1"/>
    <col min="11" max="11" width="9.140625" style="82" customWidth="1"/>
    <col min="12" max="12" width="1.28515625" style="82" customWidth="1"/>
    <col min="13" max="13" width="27.7109375" style="82" customWidth="1"/>
    <col min="14" max="14" width="1.28515625" style="82" customWidth="1"/>
    <col min="15" max="15" width="14.28515625" style="82" customWidth="1"/>
    <col min="16" max="16" width="1.28515625" style="82" customWidth="1"/>
    <col min="17" max="17" width="23.7109375" style="82" customWidth="1"/>
    <col min="18" max="18" width="0.28515625" style="82" customWidth="1"/>
    <col min="19" max="16384" width="9.140625" style="82"/>
  </cols>
  <sheetData>
    <row r="1" spans="1:17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</row>
    <row r="2" spans="1:17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</row>
    <row r="3" spans="1:17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</row>
    <row r="5" spans="1:17" s="83" customFormat="1" ht="30" customHeight="1">
      <c r="A5" s="221" t="s">
        <v>283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</row>
    <row r="6" spans="1:17" ht="30" customHeight="1">
      <c r="M6" s="235" t="s">
        <v>175</v>
      </c>
      <c r="O6" s="222" t="s">
        <v>181</v>
      </c>
      <c r="Q6" s="235" t="s">
        <v>176</v>
      </c>
    </row>
    <row r="7" spans="1:17" ht="30" customHeight="1">
      <c r="A7" s="223" t="s">
        <v>177</v>
      </c>
      <c r="B7" s="223"/>
      <c r="D7" s="1" t="s">
        <v>178</v>
      </c>
      <c r="F7" s="1" t="s">
        <v>179</v>
      </c>
      <c r="H7" s="19" t="s">
        <v>27</v>
      </c>
      <c r="J7" s="223" t="s">
        <v>180</v>
      </c>
      <c r="K7" s="223"/>
      <c r="M7" s="235"/>
      <c r="O7" s="233"/>
      <c r="Q7" s="235"/>
    </row>
    <row r="8" spans="1:17" s="66" customFormat="1" ht="30" customHeight="1">
      <c r="A8" s="238" t="s">
        <v>182</v>
      </c>
      <c r="B8" s="238"/>
      <c r="D8" s="238" t="s">
        <v>182</v>
      </c>
      <c r="F8" s="85" t="s">
        <v>238</v>
      </c>
      <c r="H8" s="210">
        <v>450000</v>
      </c>
      <c r="I8" s="211"/>
      <c r="J8" s="236">
        <v>455120924375</v>
      </c>
      <c r="K8" s="236"/>
      <c r="L8" s="211"/>
      <c r="M8" s="210">
        <v>9987337615</v>
      </c>
      <c r="N8" s="211"/>
      <c r="O8" s="212">
        <v>1000000</v>
      </c>
      <c r="Q8" s="213">
        <v>0.23</v>
      </c>
    </row>
    <row r="9" spans="1:17" s="66" customFormat="1" ht="30" customHeight="1">
      <c r="A9" s="239"/>
      <c r="B9" s="239"/>
      <c r="D9" s="239"/>
      <c r="F9" s="66" t="s">
        <v>239</v>
      </c>
      <c r="H9" s="212">
        <v>200000</v>
      </c>
      <c r="I9" s="211"/>
      <c r="J9" s="237">
        <v>200000000000</v>
      </c>
      <c r="K9" s="237"/>
      <c r="L9" s="211"/>
      <c r="M9" s="212">
        <v>5324178075</v>
      </c>
      <c r="N9" s="211"/>
      <c r="O9" s="212">
        <v>1000000</v>
      </c>
      <c r="Q9" s="213">
        <v>0.23</v>
      </c>
    </row>
    <row r="10" spans="1:17" s="66" customFormat="1" ht="30" customHeight="1">
      <c r="A10" s="239"/>
      <c r="B10" s="239"/>
      <c r="D10" s="239"/>
      <c r="F10" s="66" t="s">
        <v>60</v>
      </c>
      <c r="H10" s="212">
        <v>500000</v>
      </c>
      <c r="I10" s="211"/>
      <c r="J10" s="237">
        <v>500000000000</v>
      </c>
      <c r="K10" s="237"/>
      <c r="L10" s="211"/>
      <c r="M10" s="212">
        <v>14288513196</v>
      </c>
      <c r="N10" s="211"/>
      <c r="O10" s="212">
        <v>1000000</v>
      </c>
      <c r="Q10" s="213">
        <v>0.23</v>
      </c>
    </row>
    <row r="11" spans="1:17" s="66" customFormat="1" ht="30" customHeight="1">
      <c r="A11" s="239"/>
      <c r="B11" s="239"/>
      <c r="D11" s="239"/>
      <c r="F11" s="66" t="s">
        <v>13</v>
      </c>
      <c r="H11" s="212">
        <v>58593750</v>
      </c>
      <c r="I11" s="211"/>
      <c r="J11" s="237">
        <v>300178008395</v>
      </c>
      <c r="K11" s="237"/>
      <c r="L11" s="211"/>
      <c r="M11" s="212">
        <v>0</v>
      </c>
      <c r="N11" s="211"/>
      <c r="O11" s="214">
        <v>5967</v>
      </c>
      <c r="Q11" s="213">
        <v>0.22</v>
      </c>
    </row>
    <row r="12" spans="1:17" ht="30" customHeight="1">
      <c r="A12" s="239"/>
      <c r="B12" s="239"/>
      <c r="D12" s="239"/>
      <c r="F12" s="66" t="s">
        <v>304</v>
      </c>
      <c r="H12" s="212">
        <v>500000</v>
      </c>
      <c r="I12" s="215"/>
      <c r="J12" s="237">
        <v>500000000000</v>
      </c>
      <c r="K12" s="237"/>
      <c r="L12" s="215"/>
      <c r="M12" s="212">
        <v>9267123287</v>
      </c>
      <c r="N12" s="215"/>
      <c r="O12" s="212">
        <v>1000000</v>
      </c>
      <c r="Q12" s="216">
        <v>0.20499999999999999</v>
      </c>
    </row>
    <row r="13" spans="1:17" ht="30" customHeight="1">
      <c r="A13" s="239"/>
      <c r="B13" s="239"/>
      <c r="D13" s="239"/>
      <c r="F13" s="66" t="s">
        <v>306</v>
      </c>
      <c r="H13" s="212">
        <v>500000</v>
      </c>
      <c r="I13" s="215"/>
      <c r="J13" s="237">
        <v>500000000000</v>
      </c>
      <c r="K13" s="237"/>
      <c r="L13" s="215"/>
      <c r="M13" s="212">
        <v>2380493645</v>
      </c>
      <c r="N13" s="215"/>
      <c r="O13" s="212">
        <v>1000000</v>
      </c>
      <c r="Q13" s="217">
        <v>0.23</v>
      </c>
    </row>
    <row r="15" spans="1:17" ht="30" customHeight="1">
      <c r="M15" s="84"/>
      <c r="N15" s="84"/>
    </row>
  </sheetData>
  <mergeCells count="17">
    <mergeCell ref="A8:B13"/>
    <mergeCell ref="J12:K12"/>
    <mergeCell ref="J13:K13"/>
    <mergeCell ref="J8:K8"/>
    <mergeCell ref="J9:K9"/>
    <mergeCell ref="J10:K10"/>
    <mergeCell ref="J11:K11"/>
    <mergeCell ref="D8:D13"/>
    <mergeCell ref="A1:Q1"/>
    <mergeCell ref="A2:Q2"/>
    <mergeCell ref="A3:Q3"/>
    <mergeCell ref="M6:M7"/>
    <mergeCell ref="Q6:Q7"/>
    <mergeCell ref="A7:B7"/>
    <mergeCell ref="J7:K7"/>
    <mergeCell ref="A5:Q5"/>
    <mergeCell ref="O6:O7"/>
  </mergeCells>
  <hyperlinks>
    <hyperlink ref="F13" r:id="rId1" display="https://admin.samfund.ir/admin/Stock/StockTransactionList.aspx?StockID=308713&amp;BasketID=1" xr:uid="{708FD7D0-02FC-477C-A362-2E98619510E5}"/>
  </hyperlinks>
  <pageMargins left="0.39" right="0.39" top="0.39" bottom="0.39" header="0" footer="0"/>
  <pageSetup scale="77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13"/>
  <sheetViews>
    <sheetView rightToLeft="1" view="pageBreakPreview" zoomScale="120" zoomScaleNormal="100" zoomScaleSheetLayoutView="120" workbookViewId="0">
      <selection activeCell="K13" sqref="K13"/>
    </sheetView>
  </sheetViews>
  <sheetFormatPr defaultRowHeight="30" customHeight="1"/>
  <cols>
    <col min="1" max="1" width="29.85546875" style="20" customWidth="1"/>
    <col min="2" max="2" width="0.5703125" style="20" customWidth="1"/>
    <col min="3" max="3" width="12.42578125" style="20" customWidth="1"/>
    <col min="4" max="4" width="0.5703125" style="20" customWidth="1"/>
    <col min="5" max="5" width="15.5703125" style="20" customWidth="1"/>
    <col min="6" max="6" width="0.42578125" style="20" customWidth="1"/>
    <col min="7" max="7" width="13" style="20" customWidth="1"/>
    <col min="8" max="8" width="0.42578125" style="20" customWidth="1"/>
    <col min="9" max="9" width="13" style="20" customWidth="1"/>
    <col min="10" max="10" width="0.5703125" style="20" customWidth="1"/>
    <col min="11" max="11" width="21" style="20" customWidth="1"/>
    <col min="12" max="12" width="0.42578125" style="20" customWidth="1"/>
    <col min="13" max="13" width="14.85546875" style="20" bestFit="1" customWidth="1"/>
    <col min="14" max="14" width="19.5703125" style="20" customWidth="1"/>
    <col min="15" max="16384" width="9.140625" style="20"/>
  </cols>
  <sheetData>
    <row r="1" spans="1:14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30" customHeight="1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4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4" s="21" customFormat="1" ht="30" customHeight="1">
      <c r="A4" s="221" t="s">
        <v>84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4" s="21" customFormat="1" ht="30" customHeight="1">
      <c r="A5" s="221" t="s">
        <v>85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4" ht="9" customHeight="1"/>
    <row r="7" spans="1:14" ht="30" customHeight="1">
      <c r="C7" s="240" t="s">
        <v>285</v>
      </c>
      <c r="D7" s="240"/>
      <c r="E7" s="240"/>
      <c r="F7" s="240"/>
      <c r="G7" s="240"/>
      <c r="H7" s="240"/>
      <c r="I7" s="240"/>
      <c r="J7" s="240"/>
      <c r="K7" s="240"/>
      <c r="L7" s="240"/>
      <c r="M7" s="240"/>
    </row>
    <row r="8" spans="1:14" ht="42">
      <c r="A8" s="1" t="s">
        <v>86</v>
      </c>
      <c r="C8" s="25" t="s">
        <v>6</v>
      </c>
      <c r="E8" s="25" t="s">
        <v>87</v>
      </c>
      <c r="G8" s="39" t="s">
        <v>88</v>
      </c>
      <c r="I8" s="25" t="s">
        <v>89</v>
      </c>
      <c r="K8" s="39" t="s">
        <v>90</v>
      </c>
      <c r="M8" s="17" t="s">
        <v>236</v>
      </c>
    </row>
    <row r="9" spans="1:14" ht="30" customHeight="1">
      <c r="A9" s="3" t="s">
        <v>68</v>
      </c>
      <c r="C9" s="8">
        <v>465000</v>
      </c>
      <c r="D9" s="22"/>
      <c r="E9" s="8">
        <v>960960</v>
      </c>
      <c r="F9" s="22"/>
      <c r="G9" s="8">
        <v>952500</v>
      </c>
      <c r="H9" s="22"/>
      <c r="I9" s="185">
        <f>(G9-E9)/G9</f>
        <v>-8.8818897637795279E-3</v>
      </c>
      <c r="J9" s="22"/>
      <c r="K9" s="9">
        <v>423785674921</v>
      </c>
      <c r="M9" s="18" t="s">
        <v>237</v>
      </c>
      <c r="N9" s="59"/>
    </row>
    <row r="10" spans="1:14" ht="30" customHeight="1">
      <c r="A10" s="5" t="s">
        <v>74</v>
      </c>
      <c r="C10" s="9">
        <v>102957</v>
      </c>
      <c r="D10" s="22"/>
      <c r="E10" s="9">
        <v>984350</v>
      </c>
      <c r="F10" s="22"/>
      <c r="G10" s="9">
        <v>990000</v>
      </c>
      <c r="H10" s="22"/>
      <c r="I10" s="186">
        <f t="shared" ref="I10:I11" si="0">(G10-E10)/G10</f>
        <v>5.7070707070707074E-3</v>
      </c>
      <c r="J10" s="22"/>
      <c r="K10" s="9">
        <v>101908955653</v>
      </c>
      <c r="M10" s="18" t="s">
        <v>237</v>
      </c>
      <c r="N10" s="59"/>
    </row>
    <row r="11" spans="1:14" ht="30" customHeight="1">
      <c r="A11" s="5" t="s">
        <v>77</v>
      </c>
      <c r="C11" s="9">
        <v>106340</v>
      </c>
      <c r="D11" s="22"/>
      <c r="E11" s="9">
        <v>918000</v>
      </c>
      <c r="F11" s="22"/>
      <c r="G11" s="9">
        <v>951000</v>
      </c>
      <c r="H11" s="22"/>
      <c r="I11" s="186">
        <f t="shared" si="0"/>
        <v>3.4700315457413249E-2</v>
      </c>
      <c r="J11" s="22"/>
      <c r="K11" s="9">
        <v>101111010307</v>
      </c>
      <c r="M11" s="18" t="s">
        <v>237</v>
      </c>
      <c r="N11" s="59"/>
    </row>
    <row r="12" spans="1:14" s="30" customFormat="1" ht="30" customHeight="1" thickBot="1">
      <c r="A12" s="19" t="s">
        <v>14</v>
      </c>
      <c r="C12" s="27"/>
      <c r="D12" s="28"/>
      <c r="E12" s="27"/>
      <c r="F12" s="28"/>
      <c r="G12" s="27"/>
      <c r="H12" s="28"/>
      <c r="I12" s="27"/>
      <c r="J12" s="28"/>
      <c r="K12" s="29">
        <f>SUM(K9:K11)</f>
        <v>626805640881</v>
      </c>
    </row>
    <row r="13" spans="1:14" ht="30" customHeight="1" thickTop="1"/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V13"/>
  <sheetViews>
    <sheetView rightToLeft="1" view="pageBreakPreview" zoomScaleNormal="100" zoomScaleSheetLayoutView="100" workbookViewId="0">
      <selection activeCell="A4" sqref="A4"/>
    </sheetView>
  </sheetViews>
  <sheetFormatPr defaultRowHeight="30" customHeight="1"/>
  <cols>
    <col min="1" max="1" width="32.42578125" style="20" customWidth="1"/>
    <col min="2" max="2" width="13" style="20" customWidth="1"/>
    <col min="3" max="3" width="1.28515625" style="20" customWidth="1"/>
    <col min="4" max="4" width="13" style="20" customWidth="1"/>
    <col min="5" max="5" width="1.28515625" style="20" customWidth="1"/>
    <col min="6" max="6" width="6.42578125" style="20" customWidth="1"/>
    <col min="7" max="7" width="1.28515625" style="20" customWidth="1"/>
    <col min="8" max="8" width="5.140625" style="20" customWidth="1"/>
    <col min="9" max="9" width="1.28515625" style="20" customWidth="1"/>
    <col min="10" max="10" width="9.140625" style="20" customWidth="1"/>
    <col min="11" max="11" width="1.28515625" style="20" customWidth="1"/>
    <col min="12" max="12" width="2.5703125" style="20" customWidth="1"/>
    <col min="13" max="13" width="1.28515625" style="20" customWidth="1"/>
    <col min="14" max="14" width="9.140625" style="20" customWidth="1"/>
    <col min="15" max="15" width="1.28515625" style="20" customWidth="1"/>
    <col min="16" max="16" width="2.5703125" style="20" customWidth="1"/>
    <col min="17" max="19" width="1.28515625" style="20" customWidth="1"/>
    <col min="20" max="20" width="6.42578125" style="20" customWidth="1"/>
    <col min="21" max="21" width="1.28515625" style="20" customWidth="1"/>
    <col min="22" max="22" width="2.5703125" style="20" customWidth="1"/>
    <col min="23" max="25" width="1.28515625" style="20" customWidth="1"/>
    <col min="26" max="26" width="6.42578125" style="20" customWidth="1"/>
    <col min="27" max="27" width="1.28515625" style="20" customWidth="1"/>
    <col min="28" max="28" width="2.5703125" style="20" customWidth="1"/>
    <col min="29" max="31" width="1.28515625" style="20" customWidth="1"/>
    <col min="32" max="32" width="9.140625" style="20" customWidth="1"/>
    <col min="33" max="33" width="1.28515625" style="20" customWidth="1"/>
    <col min="34" max="34" width="2.5703125" style="20" customWidth="1"/>
    <col min="35" max="35" width="1.28515625" style="20" customWidth="1"/>
    <col min="36" max="36" width="9.140625" style="20" customWidth="1"/>
    <col min="37" max="37" width="1.28515625" style="20" customWidth="1"/>
    <col min="38" max="38" width="2.5703125" style="20" customWidth="1"/>
    <col min="39" max="39" width="1.28515625" style="20" customWidth="1"/>
    <col min="40" max="40" width="9.140625" style="20" customWidth="1"/>
    <col min="41" max="41" width="1.28515625" style="20" customWidth="1"/>
    <col min="42" max="42" width="2.5703125" style="20" customWidth="1"/>
    <col min="43" max="43" width="1.28515625" style="20" customWidth="1"/>
    <col min="44" max="44" width="11.7109375" style="20" customWidth="1"/>
    <col min="45" max="46" width="1.28515625" style="20" customWidth="1"/>
    <col min="47" max="47" width="13" style="20" customWidth="1"/>
    <col min="48" max="48" width="7.7109375" style="20" customWidth="1"/>
    <col min="49" max="49" width="0.28515625" style="20" customWidth="1"/>
    <col min="50" max="16384" width="9.140625" style="20"/>
  </cols>
  <sheetData>
    <row r="1" spans="1:48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</row>
    <row r="2" spans="1:48" ht="30" customHeight="1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</row>
    <row r="3" spans="1:48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</row>
    <row r="4" spans="1:48" ht="30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 spans="1:48" s="21" customFormat="1" ht="30" customHeight="1">
      <c r="A5" s="221" t="s">
        <v>15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</row>
    <row r="6" spans="1:48" ht="30" customHeight="1">
      <c r="H6" s="223" t="s">
        <v>243</v>
      </c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B6" s="223" t="s">
        <v>285</v>
      </c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</row>
    <row r="7" spans="1:48" ht="36.75" customHeight="1">
      <c r="A7" s="223" t="s">
        <v>16</v>
      </c>
      <c r="B7" s="223"/>
      <c r="C7" s="223"/>
      <c r="D7" s="223"/>
      <c r="E7" s="223"/>
      <c r="F7" s="223"/>
      <c r="H7" s="223" t="s">
        <v>17</v>
      </c>
      <c r="I7" s="223"/>
      <c r="J7" s="223"/>
      <c r="L7" s="223" t="s">
        <v>18</v>
      </c>
      <c r="M7" s="223"/>
      <c r="N7" s="223"/>
      <c r="P7" s="223" t="s">
        <v>19</v>
      </c>
      <c r="Q7" s="223"/>
      <c r="R7" s="223"/>
      <c r="S7" s="223"/>
      <c r="T7" s="223"/>
      <c r="V7" s="223" t="s">
        <v>20</v>
      </c>
      <c r="W7" s="223"/>
      <c r="X7" s="223"/>
      <c r="Y7" s="223"/>
      <c r="Z7" s="223"/>
      <c r="AB7" s="223" t="s">
        <v>17</v>
      </c>
      <c r="AC7" s="223"/>
      <c r="AD7" s="223"/>
      <c r="AE7" s="223"/>
      <c r="AF7" s="223"/>
      <c r="AH7" s="223" t="s">
        <v>18</v>
      </c>
      <c r="AI7" s="223"/>
      <c r="AJ7" s="223"/>
      <c r="AL7" s="223" t="s">
        <v>19</v>
      </c>
      <c r="AM7" s="223"/>
      <c r="AN7" s="223"/>
      <c r="AP7" s="223" t="s">
        <v>20</v>
      </c>
      <c r="AQ7" s="223"/>
      <c r="AR7" s="223"/>
    </row>
    <row r="8" spans="1:48" ht="38.25" customHeight="1">
      <c r="A8" s="242" t="s">
        <v>21</v>
      </c>
      <c r="B8" s="242"/>
      <c r="C8" s="242"/>
      <c r="D8" s="242"/>
      <c r="E8" s="242"/>
      <c r="F8" s="242"/>
      <c r="H8" s="241">
        <v>58593750</v>
      </c>
      <c r="I8" s="241"/>
      <c r="J8" s="241"/>
      <c r="K8" s="22"/>
      <c r="L8" s="241">
        <v>6233</v>
      </c>
      <c r="M8" s="241"/>
      <c r="N8" s="241"/>
      <c r="O8" s="22"/>
      <c r="P8" s="242" t="s">
        <v>22</v>
      </c>
      <c r="Q8" s="242"/>
      <c r="R8" s="242"/>
      <c r="S8" s="242"/>
      <c r="T8" s="242"/>
      <c r="U8" s="22"/>
      <c r="V8" s="243">
        <v>0.221344441997158</v>
      </c>
      <c r="W8" s="243"/>
      <c r="X8" s="243"/>
      <c r="Y8" s="243"/>
      <c r="Z8" s="243"/>
      <c r="AA8" s="22"/>
      <c r="AB8" s="241">
        <v>58593750</v>
      </c>
      <c r="AC8" s="241"/>
      <c r="AD8" s="241"/>
      <c r="AE8" s="241"/>
      <c r="AF8" s="241"/>
      <c r="AG8" s="22"/>
      <c r="AH8" s="241">
        <v>6233</v>
      </c>
      <c r="AI8" s="241"/>
      <c r="AJ8" s="241"/>
      <c r="AK8" s="22"/>
      <c r="AL8" s="242" t="s">
        <v>22</v>
      </c>
      <c r="AM8" s="242"/>
      <c r="AN8" s="242"/>
      <c r="AO8" s="22"/>
      <c r="AP8" s="243">
        <v>0.221344441997158</v>
      </c>
      <c r="AQ8" s="243"/>
      <c r="AR8" s="243"/>
    </row>
    <row r="9" spans="1:48" ht="38.25" customHeight="1">
      <c r="A9" s="16"/>
      <c r="B9" s="16"/>
      <c r="C9" s="16"/>
      <c r="D9" s="16"/>
      <c r="E9" s="16"/>
      <c r="F9" s="16"/>
      <c r="H9" s="9"/>
      <c r="I9" s="9"/>
      <c r="J9" s="9"/>
      <c r="K9" s="22"/>
      <c r="L9" s="9"/>
      <c r="M9" s="9"/>
      <c r="N9" s="9"/>
      <c r="O9" s="22"/>
      <c r="P9" s="16"/>
      <c r="Q9" s="16"/>
      <c r="R9" s="16"/>
      <c r="S9" s="16"/>
      <c r="T9" s="16"/>
      <c r="U9" s="22"/>
      <c r="V9" s="202"/>
      <c r="W9" s="202"/>
      <c r="X9" s="202"/>
      <c r="Y9" s="202"/>
      <c r="Z9" s="202"/>
      <c r="AA9" s="22"/>
      <c r="AB9" s="9"/>
      <c r="AC9" s="9"/>
      <c r="AD9" s="9"/>
      <c r="AE9" s="9"/>
      <c r="AF9" s="9"/>
      <c r="AG9" s="22"/>
      <c r="AH9" s="9"/>
      <c r="AI9" s="9"/>
      <c r="AJ9" s="9"/>
      <c r="AK9" s="22"/>
      <c r="AL9" s="16"/>
      <c r="AM9" s="16"/>
      <c r="AN9" s="16"/>
      <c r="AO9" s="22"/>
      <c r="AP9" s="202"/>
      <c r="AQ9" s="202"/>
      <c r="AR9" s="202"/>
    </row>
    <row r="10" spans="1:48" s="21" customFormat="1" ht="30" customHeight="1">
      <c r="A10" s="244" t="s">
        <v>23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</row>
    <row r="11" spans="1:48" ht="30" customHeight="1">
      <c r="B11" s="223" t="s">
        <v>243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X11" s="223" t="s">
        <v>285</v>
      </c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</row>
    <row r="12" spans="1:48" ht="42" customHeight="1">
      <c r="A12" s="1" t="s">
        <v>16</v>
      </c>
      <c r="B12" s="2" t="s">
        <v>24</v>
      </c>
      <c r="C12" s="37"/>
      <c r="D12" s="2" t="s">
        <v>25</v>
      </c>
      <c r="E12" s="37"/>
      <c r="F12" s="245" t="s">
        <v>26</v>
      </c>
      <c r="G12" s="245"/>
      <c r="H12" s="245"/>
      <c r="I12" s="37"/>
      <c r="J12" s="224" t="s">
        <v>27</v>
      </c>
      <c r="K12" s="224"/>
      <c r="L12" s="224"/>
      <c r="M12" s="37"/>
      <c r="N12" s="224" t="s">
        <v>18</v>
      </c>
      <c r="O12" s="224"/>
      <c r="P12" s="224"/>
      <c r="Q12" s="37"/>
      <c r="R12" s="224" t="s">
        <v>19</v>
      </c>
      <c r="S12" s="224"/>
      <c r="T12" s="224"/>
      <c r="U12" s="224"/>
      <c r="V12" s="224"/>
      <c r="X12" s="224" t="s">
        <v>24</v>
      </c>
      <c r="Y12" s="224"/>
      <c r="Z12" s="224"/>
      <c r="AA12" s="224"/>
      <c r="AB12" s="224"/>
      <c r="AC12" s="37"/>
      <c r="AD12" s="224" t="s">
        <v>25</v>
      </c>
      <c r="AE12" s="224"/>
      <c r="AF12" s="224"/>
      <c r="AG12" s="224"/>
      <c r="AH12" s="224"/>
      <c r="AI12" s="37"/>
      <c r="AJ12" s="245" t="s">
        <v>26</v>
      </c>
      <c r="AK12" s="245"/>
      <c r="AL12" s="245"/>
      <c r="AM12" s="37"/>
      <c r="AN12" s="224" t="s">
        <v>27</v>
      </c>
      <c r="AO12" s="224"/>
      <c r="AP12" s="224"/>
      <c r="AQ12" s="37"/>
      <c r="AR12" s="224" t="s">
        <v>18</v>
      </c>
      <c r="AS12" s="224"/>
      <c r="AT12" s="37"/>
      <c r="AU12" s="2" t="s">
        <v>19</v>
      </c>
    </row>
    <row r="13" spans="1:48" ht="37.5" customHeight="1">
      <c r="A13" s="12" t="s">
        <v>28</v>
      </c>
      <c r="B13" s="12" t="s">
        <v>29</v>
      </c>
      <c r="C13" s="22"/>
      <c r="D13" s="12" t="s">
        <v>30</v>
      </c>
      <c r="E13" s="22"/>
      <c r="F13" s="242" t="s">
        <v>31</v>
      </c>
      <c r="G13" s="242"/>
      <c r="H13" s="242"/>
      <c r="I13" s="22"/>
      <c r="J13" s="241">
        <v>58593750</v>
      </c>
      <c r="K13" s="241"/>
      <c r="L13" s="241"/>
      <c r="M13" s="22"/>
      <c r="N13" s="241">
        <v>6336</v>
      </c>
      <c r="O13" s="241"/>
      <c r="P13" s="241"/>
      <c r="Q13" s="22"/>
      <c r="R13" s="242" t="s">
        <v>32</v>
      </c>
      <c r="S13" s="242"/>
      <c r="T13" s="242"/>
      <c r="U13" s="242"/>
      <c r="V13" s="242"/>
      <c r="W13" s="22"/>
      <c r="X13" s="242" t="s">
        <v>29</v>
      </c>
      <c r="Y13" s="242"/>
      <c r="Z13" s="242"/>
      <c r="AA13" s="242"/>
      <c r="AB13" s="242"/>
      <c r="AC13" s="22"/>
      <c r="AD13" s="242" t="s">
        <v>30</v>
      </c>
      <c r="AE13" s="242"/>
      <c r="AF13" s="242"/>
      <c r="AG13" s="242"/>
      <c r="AH13" s="242"/>
      <c r="AI13" s="22"/>
      <c r="AJ13" s="242" t="s">
        <v>31</v>
      </c>
      <c r="AK13" s="242"/>
      <c r="AL13" s="242"/>
      <c r="AM13" s="22"/>
      <c r="AN13" s="241">
        <v>58593750</v>
      </c>
      <c r="AO13" s="241"/>
      <c r="AP13" s="241"/>
      <c r="AQ13" s="22"/>
      <c r="AR13" s="241">
        <v>6336</v>
      </c>
      <c r="AS13" s="241"/>
      <c r="AT13" s="22"/>
      <c r="AU13" s="12" t="s">
        <v>32</v>
      </c>
    </row>
  </sheetData>
  <mergeCells count="48">
    <mergeCell ref="AD13:AH13"/>
    <mergeCell ref="AJ13:AL13"/>
    <mergeCell ref="AN13:AP13"/>
    <mergeCell ref="AR13:AS13"/>
    <mergeCell ref="F13:H13"/>
    <mergeCell ref="J13:L13"/>
    <mergeCell ref="N13:P13"/>
    <mergeCell ref="R13:V13"/>
    <mergeCell ref="X13:AB13"/>
    <mergeCell ref="A10:AV10"/>
    <mergeCell ref="B11:V11"/>
    <mergeCell ref="X11:AU11"/>
    <mergeCell ref="F12:H12"/>
    <mergeCell ref="J12:L12"/>
    <mergeCell ref="N12:P12"/>
    <mergeCell ref="R12:V12"/>
    <mergeCell ref="X12:AB12"/>
    <mergeCell ref="AD12:AH12"/>
    <mergeCell ref="AJ12:AL12"/>
    <mergeCell ref="AN12:AP12"/>
    <mergeCell ref="AR12:AS12"/>
    <mergeCell ref="AB8:AF8"/>
    <mergeCell ref="AH8:AJ8"/>
    <mergeCell ref="AL8:AN8"/>
    <mergeCell ref="AP8:AR8"/>
    <mergeCell ref="A7:F7"/>
    <mergeCell ref="H7:J7"/>
    <mergeCell ref="L7:N7"/>
    <mergeCell ref="A8:F8"/>
    <mergeCell ref="H8:J8"/>
    <mergeCell ref="L8:N8"/>
    <mergeCell ref="P8:T8"/>
    <mergeCell ref="V8:Z8"/>
    <mergeCell ref="P7:T7"/>
    <mergeCell ref="V7:Z7"/>
    <mergeCell ref="AB7:AF7"/>
    <mergeCell ref="AH7:AJ7"/>
    <mergeCell ref="AL7:AN7"/>
    <mergeCell ref="AP7:AR7"/>
    <mergeCell ref="A1:AV1"/>
    <mergeCell ref="A2:AV2"/>
    <mergeCell ref="A3:AV3"/>
    <mergeCell ref="H6:Z6"/>
    <mergeCell ref="AB6:AR6"/>
    <mergeCell ref="A5:M5"/>
    <mergeCell ref="N5:Z5"/>
    <mergeCell ref="AA5:AM5"/>
    <mergeCell ref="AN5:AV5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D15"/>
  <sheetViews>
    <sheetView rightToLeft="1" view="pageBreakPreview" zoomScaleNormal="100" zoomScaleSheetLayoutView="100" workbookViewId="0">
      <selection activeCell="AA15" sqref="AA15"/>
    </sheetView>
  </sheetViews>
  <sheetFormatPr defaultRowHeight="30" customHeight="1"/>
  <cols>
    <col min="1" max="1" width="5.140625" style="20" customWidth="1"/>
    <col min="2" max="2" width="25.28515625" style="20" customWidth="1"/>
    <col min="3" max="3" width="0.7109375" style="20" customWidth="1"/>
    <col min="4" max="4" width="2.5703125" style="20" customWidth="1"/>
    <col min="5" max="5" width="10.42578125" style="20" customWidth="1"/>
    <col min="6" max="6" width="0.7109375" style="20" customWidth="1"/>
    <col min="7" max="7" width="19.42578125" style="20" customWidth="1"/>
    <col min="8" max="8" width="0.5703125" style="20" customWidth="1"/>
    <col min="9" max="9" width="17.42578125" style="20" customWidth="1"/>
    <col min="10" max="10" width="0.5703125" style="20" customWidth="1"/>
    <col min="11" max="11" width="13" style="20" customWidth="1"/>
    <col min="12" max="12" width="0.5703125" style="20" customWidth="1"/>
    <col min="13" max="13" width="15.42578125" style="20" bestFit="1" customWidth="1"/>
    <col min="14" max="14" width="0.28515625" style="20" customWidth="1"/>
    <col min="15" max="15" width="10.28515625" style="20" customWidth="1"/>
    <col min="16" max="16" width="0.42578125" style="20" customWidth="1"/>
    <col min="17" max="17" width="14.85546875" style="20" customWidth="1"/>
    <col min="18" max="18" width="0.5703125" style="20" customWidth="1"/>
    <col min="19" max="19" width="11.5703125" style="20" customWidth="1"/>
    <col min="20" max="20" width="0.5703125" style="20" customWidth="1"/>
    <col min="21" max="21" width="16" style="99" customWidth="1"/>
    <col min="22" max="22" width="0.5703125" style="99" customWidth="1"/>
    <col min="23" max="23" width="16.42578125" style="99" customWidth="1"/>
    <col min="24" max="24" width="0.7109375" style="99" customWidth="1"/>
    <col min="25" max="25" width="15.42578125" style="99" customWidth="1"/>
    <col min="26" max="26" width="0.7109375" style="99" customWidth="1"/>
    <col min="27" max="27" width="12.140625" style="99" customWidth="1"/>
    <col min="28" max="28" width="0.28515625" style="20" customWidth="1"/>
    <col min="29" max="29" width="20.7109375" style="20" customWidth="1"/>
    <col min="30" max="30" width="9.140625" style="43"/>
    <col min="31" max="16384" width="9.140625" style="20"/>
  </cols>
  <sheetData>
    <row r="1" spans="1:30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1:30" ht="30" customHeight="1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</row>
    <row r="3" spans="1:30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</row>
    <row r="4" spans="1:30" s="21" customFormat="1" ht="30" customHeight="1">
      <c r="A4" s="221" t="s">
        <v>249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D4" s="76"/>
    </row>
    <row r="5" spans="1:30" ht="30" customHeight="1">
      <c r="D5" s="47"/>
      <c r="E5" s="223" t="s">
        <v>243</v>
      </c>
      <c r="F5" s="223"/>
      <c r="G5" s="223"/>
      <c r="H5" s="223"/>
      <c r="I5" s="223"/>
      <c r="K5" s="223" t="s">
        <v>2</v>
      </c>
      <c r="L5" s="223"/>
      <c r="M5" s="223"/>
      <c r="N5" s="223"/>
      <c r="O5" s="223"/>
      <c r="P5" s="223"/>
      <c r="Q5" s="223"/>
      <c r="S5" s="223" t="s">
        <v>285</v>
      </c>
      <c r="T5" s="223"/>
      <c r="U5" s="223"/>
      <c r="V5" s="223"/>
      <c r="W5" s="223"/>
      <c r="X5" s="223"/>
      <c r="Y5" s="223"/>
      <c r="Z5" s="223"/>
      <c r="AA5" s="223"/>
    </row>
    <row r="6" spans="1:30" ht="30" customHeight="1">
      <c r="D6" s="222" t="s">
        <v>36</v>
      </c>
      <c r="E6" s="222"/>
      <c r="F6" s="37"/>
      <c r="G6" s="232" t="s">
        <v>7</v>
      </c>
      <c r="H6" s="37"/>
      <c r="I6" s="232" t="s">
        <v>8</v>
      </c>
      <c r="K6" s="224" t="s">
        <v>33</v>
      </c>
      <c r="L6" s="224"/>
      <c r="M6" s="224"/>
      <c r="N6" s="37"/>
      <c r="O6" s="224" t="s">
        <v>34</v>
      </c>
      <c r="P6" s="224"/>
      <c r="Q6" s="224"/>
      <c r="S6" s="232" t="s">
        <v>6</v>
      </c>
      <c r="T6" s="37"/>
      <c r="U6" s="247" t="s">
        <v>308</v>
      </c>
      <c r="V6" s="149"/>
      <c r="W6" s="249" t="s">
        <v>7</v>
      </c>
      <c r="X6" s="149"/>
      <c r="Y6" s="249" t="s">
        <v>8</v>
      </c>
      <c r="Z6" s="149"/>
      <c r="AA6" s="247" t="s">
        <v>11</v>
      </c>
    </row>
    <row r="7" spans="1:30" ht="30" customHeight="1">
      <c r="A7" s="223" t="s">
        <v>35</v>
      </c>
      <c r="B7" s="223"/>
      <c r="D7" s="233"/>
      <c r="E7" s="233"/>
      <c r="G7" s="233"/>
      <c r="I7" s="233"/>
      <c r="K7" s="2" t="s">
        <v>6</v>
      </c>
      <c r="L7" s="37"/>
      <c r="M7" s="2" t="s">
        <v>7</v>
      </c>
      <c r="O7" s="2" t="s">
        <v>6</v>
      </c>
      <c r="P7" s="37"/>
      <c r="Q7" s="2" t="s">
        <v>9</v>
      </c>
      <c r="S7" s="233"/>
      <c r="U7" s="248"/>
      <c r="W7" s="250"/>
      <c r="Y7" s="250"/>
      <c r="AA7" s="248"/>
    </row>
    <row r="8" spans="1:30" ht="30" customHeight="1">
      <c r="A8" s="229" t="s">
        <v>39</v>
      </c>
      <c r="B8" s="229"/>
      <c r="D8" s="252">
        <v>609114</v>
      </c>
      <c r="E8" s="252"/>
      <c r="F8" s="128"/>
      <c r="G8" s="59">
        <v>6098205721</v>
      </c>
      <c r="H8" s="128"/>
      <c r="I8" s="59">
        <v>6388102110</v>
      </c>
      <c r="J8" s="128"/>
      <c r="K8" s="59">
        <v>0</v>
      </c>
      <c r="L8" s="128"/>
      <c r="M8" s="59">
        <v>0</v>
      </c>
      <c r="N8" s="128"/>
      <c r="O8" s="187">
        <v>-120132</v>
      </c>
      <c r="P8" s="128"/>
      <c r="Q8" s="125">
        <v>1265892572</v>
      </c>
      <c r="R8" s="128"/>
      <c r="S8" s="59">
        <f>D8-O8</f>
        <v>729246</v>
      </c>
      <c r="T8" s="128"/>
      <c r="U8" s="126">
        <v>10250</v>
      </c>
      <c r="V8" s="190"/>
      <c r="W8" s="126">
        <v>4895492190</v>
      </c>
      <c r="X8" s="190"/>
      <c r="Y8" s="126">
        <v>5006113672</v>
      </c>
      <c r="Z8" s="190"/>
      <c r="AA8" s="191">
        <v>1E-3</v>
      </c>
      <c r="AC8" s="75"/>
    </row>
    <row r="9" spans="1:30" ht="30" customHeight="1">
      <c r="A9" s="229" t="s">
        <v>41</v>
      </c>
      <c r="B9" s="229"/>
      <c r="D9" s="246">
        <v>3480403</v>
      </c>
      <c r="E9" s="246"/>
      <c r="F9" s="128"/>
      <c r="G9" s="59">
        <v>35713655387</v>
      </c>
      <c r="H9" s="128"/>
      <c r="I9" s="59">
        <v>35287616988</v>
      </c>
      <c r="J9" s="128"/>
      <c r="K9" s="59">
        <v>0</v>
      </c>
      <c r="L9" s="128"/>
      <c r="M9" s="59">
        <v>0</v>
      </c>
      <c r="N9" s="128"/>
      <c r="O9" s="59">
        <v>0</v>
      </c>
      <c r="P9" s="128"/>
      <c r="Q9" s="59">
        <v>0</v>
      </c>
      <c r="R9" s="128"/>
      <c r="S9" s="59">
        <v>3480403</v>
      </c>
      <c r="T9" s="128"/>
      <c r="U9" s="126">
        <v>9975</v>
      </c>
      <c r="V9" s="190"/>
      <c r="W9" s="126">
        <v>35713655387</v>
      </c>
      <c r="X9" s="190"/>
      <c r="Y9" s="126">
        <v>34675793464</v>
      </c>
      <c r="Z9" s="190"/>
      <c r="AA9" s="191">
        <v>6.8999999999999999E-3</v>
      </c>
      <c r="AC9" s="75"/>
    </row>
    <row r="10" spans="1:30" ht="30" customHeight="1">
      <c r="A10" s="229" t="s">
        <v>247</v>
      </c>
      <c r="B10" s="229"/>
      <c r="D10" s="246">
        <v>98893</v>
      </c>
      <c r="E10" s="246"/>
      <c r="F10" s="128"/>
      <c r="G10" s="246">
        <v>1062352767</v>
      </c>
      <c r="H10" s="246"/>
      <c r="I10" s="246">
        <v>1074678142</v>
      </c>
      <c r="J10" s="246"/>
      <c r="K10" s="59">
        <v>0</v>
      </c>
      <c r="L10" s="128"/>
      <c r="M10" s="59">
        <v>0</v>
      </c>
      <c r="N10" s="128"/>
      <c r="O10" s="188">
        <v>-98893</v>
      </c>
      <c r="P10" s="128"/>
      <c r="Q10" s="59">
        <v>1075665901</v>
      </c>
      <c r="R10" s="128"/>
      <c r="S10" s="59">
        <f>D10-O10</f>
        <v>197786</v>
      </c>
      <c r="T10" s="128"/>
      <c r="U10" s="126">
        <v>0</v>
      </c>
      <c r="V10" s="190"/>
      <c r="W10" s="126">
        <v>0</v>
      </c>
      <c r="X10" s="190"/>
      <c r="Y10" s="126">
        <v>0</v>
      </c>
      <c r="Z10" s="190"/>
      <c r="AA10" s="191">
        <v>0</v>
      </c>
      <c r="AC10" s="75"/>
    </row>
    <row r="11" spans="1:30" ht="30" customHeight="1">
      <c r="A11" s="229" t="s">
        <v>290</v>
      </c>
      <c r="B11" s="229"/>
      <c r="D11" s="246">
        <v>0</v>
      </c>
      <c r="E11" s="246"/>
      <c r="F11" s="128"/>
      <c r="G11" s="59">
        <v>0</v>
      </c>
      <c r="H11" s="59"/>
      <c r="I11" s="59">
        <v>0</v>
      </c>
      <c r="J11" s="59"/>
      <c r="K11" s="59">
        <v>740000</v>
      </c>
      <c r="L11" s="128"/>
      <c r="M11" s="59">
        <v>10023814152</v>
      </c>
      <c r="N11" s="128"/>
      <c r="O11" s="59">
        <v>0</v>
      </c>
      <c r="P11" s="128"/>
      <c r="Q11" s="59">
        <v>0</v>
      </c>
      <c r="R11" s="128"/>
      <c r="S11" s="59">
        <f>K11</f>
        <v>740000</v>
      </c>
      <c r="T11" s="128"/>
      <c r="U11" s="126">
        <v>12750</v>
      </c>
      <c r="V11" s="190"/>
      <c r="W11" s="126">
        <f>M11</f>
        <v>10023814152</v>
      </c>
      <c r="X11" s="190"/>
      <c r="Y11" s="126">
        <v>9423795938</v>
      </c>
      <c r="Z11" s="190"/>
      <c r="AA11" s="191">
        <v>1.9E-3</v>
      </c>
      <c r="AC11" s="75"/>
    </row>
    <row r="12" spans="1:30" ht="30" customHeight="1">
      <c r="A12" s="229" t="s">
        <v>291</v>
      </c>
      <c r="B12" s="229"/>
      <c r="D12" s="246">
        <v>0</v>
      </c>
      <c r="E12" s="246"/>
      <c r="F12" s="128"/>
      <c r="G12" s="59">
        <v>0</v>
      </c>
      <c r="H12" s="59"/>
      <c r="I12" s="59">
        <v>0</v>
      </c>
      <c r="J12" s="59"/>
      <c r="K12" s="59">
        <v>32347</v>
      </c>
      <c r="L12" s="128"/>
      <c r="M12" s="59">
        <v>5381411665</v>
      </c>
      <c r="N12" s="128"/>
      <c r="O12" s="59">
        <v>0</v>
      </c>
      <c r="P12" s="128"/>
      <c r="Q12" s="59">
        <v>0</v>
      </c>
      <c r="R12" s="128"/>
      <c r="S12" s="59">
        <f>K12</f>
        <v>32347</v>
      </c>
      <c r="T12" s="128"/>
      <c r="U12" s="126">
        <v>148410</v>
      </c>
      <c r="V12" s="190"/>
      <c r="W12" s="126">
        <f>M12</f>
        <v>5381411665</v>
      </c>
      <c r="X12" s="190"/>
      <c r="Y12" s="126">
        <v>4794917536</v>
      </c>
      <c r="Z12" s="190"/>
      <c r="AA12" s="191">
        <v>8.9999999999999998E-4</v>
      </c>
      <c r="AC12" s="75"/>
    </row>
    <row r="13" spans="1:30" ht="30" customHeight="1">
      <c r="A13" s="253" t="s">
        <v>292</v>
      </c>
      <c r="B13" s="253"/>
      <c r="D13" s="246">
        <v>0</v>
      </c>
      <c r="E13" s="246"/>
      <c r="F13" s="128"/>
      <c r="G13" s="59">
        <v>0</v>
      </c>
      <c r="H13" s="59"/>
      <c r="I13" s="59">
        <v>0</v>
      </c>
      <c r="J13" s="59"/>
      <c r="K13" s="184">
        <v>35121</v>
      </c>
      <c r="L13" s="128"/>
      <c r="M13" s="59">
        <v>4540277251</v>
      </c>
      <c r="N13" s="128"/>
      <c r="O13" s="59">
        <v>0</v>
      </c>
      <c r="P13" s="128"/>
      <c r="Q13" s="59">
        <v>0</v>
      </c>
      <c r="R13" s="128"/>
      <c r="S13" s="59">
        <f>K13</f>
        <v>35121</v>
      </c>
      <c r="T13" s="128"/>
      <c r="U13" s="126">
        <v>111170</v>
      </c>
      <c r="V13" s="190"/>
      <c r="W13" s="126">
        <f>M13</f>
        <v>4540277251</v>
      </c>
      <c r="X13" s="190"/>
      <c r="Y13" s="126">
        <v>4110240856</v>
      </c>
      <c r="Z13" s="190"/>
      <c r="AA13" s="191">
        <v>8.0000000000000004E-4</v>
      </c>
      <c r="AC13" s="75"/>
    </row>
    <row r="14" spans="1:30" s="30" customFormat="1" ht="30" customHeight="1" thickBot="1">
      <c r="A14" s="222" t="s">
        <v>14</v>
      </c>
      <c r="B14" s="222"/>
      <c r="D14" s="251">
        <f>SUM(D8:E13)</f>
        <v>4188410</v>
      </c>
      <c r="E14" s="251"/>
      <c r="G14" s="45">
        <f>SUM(G8:G13)</f>
        <v>42874213875</v>
      </c>
      <c r="I14" s="45">
        <f>SUM(I8:I13)</f>
        <v>42750397240</v>
      </c>
      <c r="K14" s="45">
        <f>SUM(K8:K13)</f>
        <v>807468</v>
      </c>
      <c r="M14" s="46">
        <f>SUM(L8:M13)</f>
        <v>19945503068</v>
      </c>
      <c r="O14" s="189">
        <f>SUM(O8:O13)</f>
        <v>-219025</v>
      </c>
      <c r="Q14" s="46">
        <f>SUM(Q8:Q13)</f>
        <v>2341558473</v>
      </c>
      <c r="S14" s="45">
        <f>SUM(S8:S13)</f>
        <v>5214903</v>
      </c>
      <c r="U14" s="192"/>
      <c r="V14" s="109"/>
      <c r="W14" s="193">
        <f>SUM(W8:W13)</f>
        <v>60554650645</v>
      </c>
      <c r="X14" s="109"/>
      <c r="Y14" s="193">
        <f>SUM(Y8:Y13)</f>
        <v>58010861466</v>
      </c>
      <c r="Z14" s="109"/>
      <c r="AA14" s="194">
        <f>SUM(AA8:AA13)</f>
        <v>1.1500000000000002E-2</v>
      </c>
      <c r="AD14" s="78"/>
    </row>
    <row r="15" spans="1:30" ht="30" customHeight="1" thickTop="1"/>
  </sheetData>
  <mergeCells count="34">
    <mergeCell ref="A14:B14"/>
    <mergeCell ref="D14:E14"/>
    <mergeCell ref="A8:B8"/>
    <mergeCell ref="D8:E8"/>
    <mergeCell ref="A10:B10"/>
    <mergeCell ref="D10:E10"/>
    <mergeCell ref="A11:B11"/>
    <mergeCell ref="A12:B12"/>
    <mergeCell ref="A13:B13"/>
    <mergeCell ref="D11:E11"/>
    <mergeCell ref="D12:E12"/>
    <mergeCell ref="D13:E13"/>
    <mergeCell ref="A1:AA1"/>
    <mergeCell ref="A2:AA2"/>
    <mergeCell ref="A3:AA3"/>
    <mergeCell ref="E5:I5"/>
    <mergeCell ref="K5:Q5"/>
    <mergeCell ref="S5:AA5"/>
    <mergeCell ref="G10:H10"/>
    <mergeCell ref="I10:J10"/>
    <mergeCell ref="A4:AA4"/>
    <mergeCell ref="S6:S7"/>
    <mergeCell ref="U6:U7"/>
    <mergeCell ref="W6:W7"/>
    <mergeCell ref="Y6:Y7"/>
    <mergeCell ref="AA6:AA7"/>
    <mergeCell ref="K6:M6"/>
    <mergeCell ref="O6:Q6"/>
    <mergeCell ref="A7:B7"/>
    <mergeCell ref="G6:G7"/>
    <mergeCell ref="I6:I7"/>
    <mergeCell ref="D6:E7"/>
    <mergeCell ref="A9:B9"/>
    <mergeCell ref="D9:E9"/>
  </mergeCells>
  <pageMargins left="0.39" right="0.39" top="0.39" bottom="0.39" header="0" footer="0"/>
  <pageSetup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33"/>
  <sheetViews>
    <sheetView rightToLeft="1" view="pageBreakPreview" zoomScaleNormal="100" zoomScaleSheetLayoutView="100" workbookViewId="0">
      <selection activeCell="L34" sqref="L34"/>
    </sheetView>
  </sheetViews>
  <sheetFormatPr defaultRowHeight="24.95" customHeight="1"/>
  <cols>
    <col min="1" max="1" width="5.140625" style="20" customWidth="1"/>
    <col min="2" max="2" width="53.42578125" style="20" customWidth="1"/>
    <col min="3" max="3" width="0.5703125" style="20" customWidth="1"/>
    <col min="4" max="4" width="18.7109375" style="20" bestFit="1" customWidth="1"/>
    <col min="5" max="5" width="0.5703125" style="20" customWidth="1"/>
    <col min="6" max="6" width="18.7109375" style="20" bestFit="1" customWidth="1"/>
    <col min="7" max="7" width="0.5703125" style="20" customWidth="1"/>
    <col min="8" max="8" width="19.42578125" style="20" bestFit="1" customWidth="1"/>
    <col min="9" max="9" width="0.28515625" style="20" customWidth="1"/>
    <col min="10" max="10" width="18.7109375" style="20" bestFit="1" customWidth="1"/>
    <col min="11" max="11" width="0.42578125" style="20" customWidth="1"/>
    <col min="12" max="12" width="19.42578125" style="21" customWidth="1"/>
    <col min="13" max="13" width="0.28515625" style="20" customWidth="1"/>
    <col min="14" max="14" width="48.28515625" style="122" customWidth="1"/>
    <col min="15" max="15" width="17.85546875" style="122" customWidth="1"/>
    <col min="16" max="16" width="14.140625" style="133" bestFit="1" customWidth="1"/>
    <col min="17" max="17" width="11.5703125" style="122" bestFit="1" customWidth="1"/>
    <col min="18" max="16384" width="9.140625" style="20"/>
  </cols>
  <sheetData>
    <row r="1" spans="1:17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N1" s="117"/>
      <c r="O1" s="117"/>
      <c r="P1" s="131"/>
      <c r="Q1" s="117"/>
    </row>
    <row r="2" spans="1:17" ht="30" customHeight="1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N2" s="119"/>
      <c r="O2" s="120"/>
      <c r="P2" s="131"/>
      <c r="Q2" s="119"/>
    </row>
    <row r="3" spans="1:17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N3" s="119"/>
      <c r="O3" s="120"/>
      <c r="P3" s="131"/>
      <c r="Q3" s="119"/>
    </row>
    <row r="4" spans="1:17" ht="30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34"/>
      <c r="N4" s="119"/>
      <c r="O4" s="120"/>
      <c r="P4" s="131"/>
      <c r="Q4" s="119"/>
    </row>
    <row r="5" spans="1:17" s="21" customFormat="1" ht="30" customHeight="1">
      <c r="A5" s="221" t="s">
        <v>250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N5" s="119"/>
      <c r="O5" s="120"/>
      <c r="P5" s="131"/>
      <c r="Q5" s="119"/>
    </row>
    <row r="6" spans="1:17" ht="30" customHeight="1">
      <c r="D6" s="1" t="s">
        <v>243</v>
      </c>
      <c r="F6" s="223" t="s">
        <v>2</v>
      </c>
      <c r="G6" s="223"/>
      <c r="H6" s="223"/>
      <c r="J6" s="240" t="s">
        <v>285</v>
      </c>
      <c r="K6" s="240"/>
      <c r="L6" s="240"/>
      <c r="N6" s="119"/>
      <c r="O6" s="120"/>
      <c r="P6" s="131"/>
      <c r="Q6" s="119"/>
    </row>
    <row r="7" spans="1:17" ht="30" customHeight="1">
      <c r="A7" s="223" t="s">
        <v>91</v>
      </c>
      <c r="B7" s="223"/>
      <c r="D7" s="1" t="s">
        <v>92</v>
      </c>
      <c r="F7" s="1" t="s">
        <v>93</v>
      </c>
      <c r="H7" s="1" t="s">
        <v>94</v>
      </c>
      <c r="J7" s="48" t="s">
        <v>92</v>
      </c>
      <c r="L7" s="135" t="s">
        <v>11</v>
      </c>
      <c r="N7" s="119"/>
      <c r="O7" s="119"/>
      <c r="P7" s="131"/>
      <c r="Q7" s="119"/>
    </row>
    <row r="8" spans="1:17" ht="30" customHeight="1">
      <c r="A8" s="228" t="s">
        <v>95</v>
      </c>
      <c r="B8" s="228"/>
      <c r="D8" s="8">
        <v>19782184</v>
      </c>
      <c r="E8" s="22"/>
      <c r="F8" s="8">
        <v>4521203177452</v>
      </c>
      <c r="G8" s="22"/>
      <c r="H8" s="8">
        <v>4521189636515</v>
      </c>
      <c r="I8" s="22"/>
      <c r="J8" s="9">
        <f>D8+F8-H8</f>
        <v>33323121</v>
      </c>
      <c r="K8" s="22"/>
      <c r="L8" s="136">
        <v>0</v>
      </c>
      <c r="N8" s="130"/>
      <c r="O8" s="75"/>
      <c r="P8" s="131"/>
      <c r="Q8" s="119"/>
    </row>
    <row r="9" spans="1:17" ht="30" customHeight="1">
      <c r="A9" s="229" t="s">
        <v>96</v>
      </c>
      <c r="B9" s="229"/>
      <c r="D9" s="9">
        <v>18880984</v>
      </c>
      <c r="E9" s="22"/>
      <c r="F9" s="9">
        <v>322086472314</v>
      </c>
      <c r="G9" s="22"/>
      <c r="H9" s="9">
        <v>322089713150</v>
      </c>
      <c r="I9" s="22"/>
      <c r="J9" s="9">
        <f t="shared" ref="J9:J25" si="0">D9+F9-H9</f>
        <v>15640148</v>
      </c>
      <c r="K9" s="22"/>
      <c r="L9" s="137">
        <v>0</v>
      </c>
      <c r="N9" s="119"/>
      <c r="O9" s="75"/>
      <c r="P9" s="131"/>
      <c r="Q9" s="119"/>
    </row>
    <row r="10" spans="1:17" ht="30" customHeight="1">
      <c r="A10" s="229" t="s">
        <v>97</v>
      </c>
      <c r="B10" s="229"/>
      <c r="D10" s="9">
        <v>50000000</v>
      </c>
      <c r="E10" s="22"/>
      <c r="F10" s="9" t="s">
        <v>31</v>
      </c>
      <c r="G10" s="22"/>
      <c r="H10" s="9" t="s">
        <v>31</v>
      </c>
      <c r="I10" s="22"/>
      <c r="J10" s="9">
        <f>D10</f>
        <v>50000000</v>
      </c>
      <c r="K10" s="22"/>
      <c r="L10" s="137">
        <v>1.0000000000000001E-5</v>
      </c>
      <c r="N10" s="119"/>
      <c r="O10" s="75"/>
      <c r="P10" s="131"/>
      <c r="Q10" s="119"/>
    </row>
    <row r="11" spans="1:17" ht="30" customHeight="1">
      <c r="A11" s="229" t="s">
        <v>98</v>
      </c>
      <c r="B11" s="229"/>
      <c r="D11" s="9">
        <v>4417565225</v>
      </c>
      <c r="E11" s="22"/>
      <c r="F11" s="9">
        <v>24375382750</v>
      </c>
      <c r="G11" s="22"/>
      <c r="H11" s="9">
        <v>28781250000</v>
      </c>
      <c r="I11" s="22"/>
      <c r="J11" s="9">
        <f t="shared" si="0"/>
        <v>11697975</v>
      </c>
      <c r="K11" s="22"/>
      <c r="L11" s="137">
        <v>0</v>
      </c>
      <c r="N11" s="119"/>
      <c r="O11" s="75"/>
      <c r="P11" s="131"/>
      <c r="Q11" s="119"/>
    </row>
    <row r="12" spans="1:17" ht="30" customHeight="1">
      <c r="A12" s="229" t="s">
        <v>99</v>
      </c>
      <c r="B12" s="229"/>
      <c r="D12" s="9">
        <v>1307587</v>
      </c>
      <c r="E12" s="22"/>
      <c r="F12" s="9">
        <v>5537</v>
      </c>
      <c r="G12" s="22"/>
      <c r="H12" s="9" t="s">
        <v>31</v>
      </c>
      <c r="I12" s="22"/>
      <c r="J12" s="9">
        <f>D12+F12</f>
        <v>1313124</v>
      </c>
      <c r="K12" s="22"/>
      <c r="L12" s="137">
        <v>0</v>
      </c>
      <c r="N12" s="119"/>
      <c r="O12" s="75"/>
      <c r="P12" s="131"/>
      <c r="Q12" s="119"/>
    </row>
    <row r="13" spans="1:17" ht="30" customHeight="1">
      <c r="A13" s="229" t="s">
        <v>100</v>
      </c>
      <c r="B13" s="229"/>
      <c r="D13" s="9">
        <v>12430950</v>
      </c>
      <c r="E13" s="22"/>
      <c r="F13" s="9">
        <v>52645</v>
      </c>
      <c r="G13" s="22"/>
      <c r="H13" s="9" t="s">
        <v>31</v>
      </c>
      <c r="I13" s="22"/>
      <c r="J13" s="9">
        <f>D13+F13</f>
        <v>12483595</v>
      </c>
      <c r="K13" s="22"/>
      <c r="L13" s="137">
        <v>0</v>
      </c>
      <c r="N13" s="119"/>
      <c r="O13" s="75"/>
      <c r="P13" s="131"/>
      <c r="Q13" s="119"/>
    </row>
    <row r="14" spans="1:17" ht="30" customHeight="1">
      <c r="A14" s="229" t="s">
        <v>101</v>
      </c>
      <c r="B14" s="229"/>
      <c r="D14" s="9">
        <v>4977166158</v>
      </c>
      <c r="E14" s="22"/>
      <c r="F14" s="9">
        <v>291825336005</v>
      </c>
      <c r="G14" s="22"/>
      <c r="H14" s="9">
        <v>296791448000</v>
      </c>
      <c r="I14" s="22"/>
      <c r="J14" s="9">
        <f t="shared" si="0"/>
        <v>11054163</v>
      </c>
      <c r="K14" s="22"/>
      <c r="L14" s="137">
        <v>0</v>
      </c>
      <c r="N14" s="119"/>
      <c r="O14" s="75"/>
      <c r="P14" s="131"/>
      <c r="Q14" s="119"/>
    </row>
    <row r="15" spans="1:17" ht="30" customHeight="1">
      <c r="A15" s="229" t="s">
        <v>102</v>
      </c>
      <c r="B15" s="229"/>
      <c r="D15" s="9">
        <v>617272</v>
      </c>
      <c r="E15" s="22"/>
      <c r="F15" s="9">
        <v>2603</v>
      </c>
      <c r="G15" s="22"/>
      <c r="I15" s="22"/>
      <c r="J15" s="9">
        <f t="shared" si="0"/>
        <v>619875</v>
      </c>
      <c r="K15" s="22"/>
      <c r="L15" s="137">
        <v>0</v>
      </c>
      <c r="N15" s="119"/>
      <c r="O15" s="75"/>
      <c r="P15" s="131"/>
      <c r="Q15" s="119"/>
    </row>
    <row r="16" spans="1:17" ht="30" customHeight="1">
      <c r="A16" s="229" t="s">
        <v>103</v>
      </c>
      <c r="B16" s="229"/>
      <c r="D16" s="9">
        <v>19559947</v>
      </c>
      <c r="E16" s="22"/>
      <c r="F16" s="9">
        <v>82836</v>
      </c>
      <c r="G16" s="22"/>
      <c r="H16" s="9">
        <v>20000</v>
      </c>
      <c r="I16" s="22"/>
      <c r="J16" s="9">
        <f t="shared" si="0"/>
        <v>19622783</v>
      </c>
      <c r="K16" s="22"/>
      <c r="L16" s="137">
        <v>0</v>
      </c>
      <c r="N16" s="119"/>
      <c r="O16" s="75"/>
      <c r="P16" s="131"/>
      <c r="Q16" s="119"/>
    </row>
    <row r="17" spans="1:17" ht="30" customHeight="1">
      <c r="A17" s="229" t="s">
        <v>104</v>
      </c>
      <c r="B17" s="229"/>
      <c r="D17" s="9">
        <v>62527688659</v>
      </c>
      <c r="E17" s="22"/>
      <c r="F17" s="9">
        <v>1729769015621</v>
      </c>
      <c r="G17" s="22"/>
      <c r="H17" s="9">
        <v>1792293900000</v>
      </c>
      <c r="I17" s="22"/>
      <c r="J17" s="9">
        <f t="shared" si="0"/>
        <v>2804280</v>
      </c>
      <c r="K17" s="22"/>
      <c r="L17" s="137">
        <v>0</v>
      </c>
      <c r="N17" s="119"/>
      <c r="O17" s="75"/>
      <c r="P17" s="131"/>
      <c r="Q17" s="119"/>
    </row>
    <row r="18" spans="1:17" ht="30" customHeight="1">
      <c r="A18" s="229" t="s">
        <v>105</v>
      </c>
      <c r="B18" s="229"/>
      <c r="D18" s="9">
        <v>7612740</v>
      </c>
      <c r="E18" s="22"/>
      <c r="F18" s="9">
        <v>32192</v>
      </c>
      <c r="G18" s="22"/>
      <c r="H18" s="9" t="s">
        <v>31</v>
      </c>
      <c r="I18" s="22"/>
      <c r="J18" s="9">
        <f>D18+F18</f>
        <v>7644932</v>
      </c>
      <c r="K18" s="22"/>
      <c r="L18" s="137">
        <v>0</v>
      </c>
      <c r="N18" s="119"/>
      <c r="O18" s="75"/>
      <c r="P18" s="131"/>
      <c r="Q18" s="119"/>
    </row>
    <row r="19" spans="1:17" ht="30" customHeight="1">
      <c r="A19" s="229" t="s">
        <v>106</v>
      </c>
      <c r="B19" s="229"/>
      <c r="D19" s="9">
        <v>284900000000</v>
      </c>
      <c r="E19" s="22"/>
      <c r="F19" s="9" t="s">
        <v>31</v>
      </c>
      <c r="G19" s="22"/>
      <c r="H19" s="9">
        <v>284900000000</v>
      </c>
      <c r="I19" s="22"/>
      <c r="J19" s="9">
        <f>D19-H19</f>
        <v>0</v>
      </c>
      <c r="K19" s="22"/>
      <c r="L19" s="137">
        <v>0</v>
      </c>
      <c r="N19" s="119"/>
      <c r="O19" s="75"/>
      <c r="P19" s="131"/>
      <c r="Q19" s="119"/>
    </row>
    <row r="20" spans="1:17" ht="30" customHeight="1">
      <c r="A20" s="229" t="s">
        <v>107</v>
      </c>
      <c r="B20" s="229"/>
      <c r="D20" s="9">
        <v>49675000000</v>
      </c>
      <c r="E20" s="22"/>
      <c r="F20" s="9" t="s">
        <v>31</v>
      </c>
      <c r="G20" s="22"/>
      <c r="H20" s="9" t="s">
        <v>31</v>
      </c>
      <c r="I20" s="22"/>
      <c r="J20" s="9">
        <f>D20</f>
        <v>49675000000</v>
      </c>
      <c r="K20" s="22"/>
      <c r="L20" s="137">
        <v>9.7999999999999997E-3</v>
      </c>
      <c r="N20" s="119"/>
      <c r="O20" s="75"/>
      <c r="P20" s="131"/>
      <c r="Q20" s="119"/>
    </row>
    <row r="21" spans="1:17" ht="30" customHeight="1">
      <c r="A21" s="229" t="s">
        <v>109</v>
      </c>
      <c r="B21" s="229"/>
      <c r="D21" s="9">
        <v>21465718</v>
      </c>
      <c r="E21" s="22"/>
      <c r="F21" s="9">
        <v>251055087576</v>
      </c>
      <c r="G21" s="22"/>
      <c r="H21" s="9">
        <v>250681510000</v>
      </c>
      <c r="I21" s="22"/>
      <c r="J21" s="9">
        <f t="shared" si="0"/>
        <v>395043294</v>
      </c>
      <c r="K21" s="22"/>
      <c r="L21" s="137">
        <v>1E-4</v>
      </c>
      <c r="N21" s="119"/>
      <c r="O21" s="75"/>
      <c r="P21" s="131"/>
      <c r="Q21" s="119"/>
    </row>
    <row r="22" spans="1:17" ht="30" customHeight="1">
      <c r="A22" s="229" t="s">
        <v>110</v>
      </c>
      <c r="B22" s="229"/>
      <c r="D22" s="9">
        <v>226640000000</v>
      </c>
      <c r="E22" s="22"/>
      <c r="F22" s="9" t="s">
        <v>31</v>
      </c>
      <c r="G22" s="22"/>
      <c r="H22" s="9">
        <v>127300000000</v>
      </c>
      <c r="I22" s="22"/>
      <c r="J22" s="9">
        <f>D22-H22</f>
        <v>99340000000</v>
      </c>
      <c r="K22" s="22"/>
      <c r="L22" s="137">
        <v>1.9599999999999999E-2</v>
      </c>
      <c r="N22" s="119"/>
      <c r="O22" s="75"/>
      <c r="P22" s="131"/>
      <c r="Q22" s="119"/>
    </row>
    <row r="23" spans="1:17" ht="30" customHeight="1">
      <c r="A23" s="229" t="s">
        <v>111</v>
      </c>
      <c r="B23" s="229"/>
      <c r="D23" s="9">
        <v>150000000000</v>
      </c>
      <c r="E23" s="22"/>
      <c r="F23" s="9" t="s">
        <v>31</v>
      </c>
      <c r="G23" s="22"/>
      <c r="H23" s="9">
        <v>15000000000</v>
      </c>
      <c r="I23" s="22"/>
      <c r="J23" s="9">
        <f>D23-H23</f>
        <v>135000000000</v>
      </c>
      <c r="K23" s="22"/>
      <c r="L23" s="137">
        <v>2.6700000000000002E-2</v>
      </c>
      <c r="N23" s="119"/>
      <c r="O23" s="75"/>
      <c r="P23" s="131"/>
      <c r="Q23" s="119"/>
    </row>
    <row r="24" spans="1:17" ht="30" customHeight="1">
      <c r="A24" s="229" t="s">
        <v>112</v>
      </c>
      <c r="B24" s="229"/>
      <c r="D24" s="9">
        <v>170000000000</v>
      </c>
      <c r="E24" s="22"/>
      <c r="F24" s="9" t="s">
        <v>31</v>
      </c>
      <c r="G24" s="22"/>
      <c r="H24" s="9" t="s">
        <v>31</v>
      </c>
      <c r="I24" s="22"/>
      <c r="J24" s="9">
        <f>D24</f>
        <v>170000000000</v>
      </c>
      <c r="K24" s="22"/>
      <c r="L24" s="137">
        <v>3.3599999999999998E-2</v>
      </c>
      <c r="N24" s="119"/>
      <c r="O24" s="75"/>
      <c r="P24" s="131"/>
      <c r="Q24" s="119"/>
    </row>
    <row r="25" spans="1:17" ht="30" customHeight="1">
      <c r="A25" s="229" t="s">
        <v>113</v>
      </c>
      <c r="B25" s="229"/>
      <c r="D25" s="9">
        <v>8590654</v>
      </c>
      <c r="E25" s="22"/>
      <c r="F25" s="9">
        <v>84739928550</v>
      </c>
      <c r="G25" s="22"/>
      <c r="H25" s="9">
        <v>84745600000</v>
      </c>
      <c r="I25" s="22"/>
      <c r="J25" s="9">
        <f t="shared" si="0"/>
        <v>2919204</v>
      </c>
      <c r="K25" s="22"/>
      <c r="L25" s="137">
        <v>0</v>
      </c>
      <c r="N25" s="119"/>
      <c r="O25" s="75"/>
      <c r="P25" s="131"/>
      <c r="Q25" s="119"/>
    </row>
    <row r="26" spans="1:17" ht="30" customHeight="1">
      <c r="A26" s="229" t="s">
        <v>114</v>
      </c>
      <c r="B26" s="229"/>
      <c r="D26" s="9">
        <v>82965000000</v>
      </c>
      <c r="E26" s="22"/>
      <c r="F26" s="9" t="s">
        <v>31</v>
      </c>
      <c r="G26" s="22"/>
      <c r="H26" s="9">
        <v>82965000000</v>
      </c>
      <c r="I26" s="22"/>
      <c r="J26" s="9">
        <f>D26-H26</f>
        <v>0</v>
      </c>
      <c r="K26" s="22"/>
      <c r="L26" s="137">
        <v>0</v>
      </c>
      <c r="N26" s="119"/>
      <c r="O26" s="75"/>
      <c r="P26" s="131"/>
      <c r="Q26" s="119"/>
    </row>
    <row r="27" spans="1:17" ht="30" customHeight="1">
      <c r="A27" s="229" t="s">
        <v>115</v>
      </c>
      <c r="B27" s="229"/>
      <c r="D27" s="9">
        <v>100000000000</v>
      </c>
      <c r="E27" s="22"/>
      <c r="F27" s="9" t="s">
        <v>31</v>
      </c>
      <c r="G27" s="22"/>
      <c r="H27" s="9">
        <v>15000000000</v>
      </c>
      <c r="I27" s="22"/>
      <c r="J27" s="9">
        <f>D27-H27</f>
        <v>85000000000</v>
      </c>
      <c r="K27" s="22"/>
      <c r="L27" s="137">
        <v>1.6799999999999999E-2</v>
      </c>
      <c r="N27" s="119"/>
      <c r="O27" s="75"/>
      <c r="P27" s="131"/>
      <c r="Q27" s="119"/>
    </row>
    <row r="28" spans="1:17" ht="30" customHeight="1">
      <c r="A28" s="229" t="s">
        <v>116</v>
      </c>
      <c r="B28" s="229"/>
      <c r="D28" s="9">
        <v>500000000000</v>
      </c>
      <c r="E28" s="22"/>
      <c r="F28" s="9" t="s">
        <v>31</v>
      </c>
      <c r="G28" s="22"/>
      <c r="H28" s="9">
        <v>105000000000</v>
      </c>
      <c r="I28" s="22"/>
      <c r="J28" s="9">
        <f>D28-H28</f>
        <v>395000000000</v>
      </c>
      <c r="K28" s="22"/>
      <c r="L28" s="137">
        <v>7.8100000000000003E-2</v>
      </c>
      <c r="O28" s="75"/>
      <c r="P28" s="131"/>
      <c r="Q28" s="129"/>
    </row>
    <row r="29" spans="1:17" ht="30" customHeight="1">
      <c r="A29" s="229" t="s">
        <v>300</v>
      </c>
      <c r="B29" s="229"/>
      <c r="D29" s="9" t="s">
        <v>31</v>
      </c>
      <c r="E29" s="22"/>
      <c r="F29" s="9">
        <v>100000000000</v>
      </c>
      <c r="G29" s="22"/>
      <c r="H29" s="9" t="s">
        <v>31</v>
      </c>
      <c r="I29" s="22"/>
      <c r="J29" s="9">
        <f>F29</f>
        <v>100000000000</v>
      </c>
      <c r="K29" s="22"/>
      <c r="L29" s="137">
        <v>1.9800000000000002E-2</v>
      </c>
      <c r="O29" s="75"/>
      <c r="P29" s="131"/>
      <c r="Q29" s="129"/>
    </row>
    <row r="30" spans="1:17" ht="30" customHeight="1">
      <c r="A30" s="229" t="s">
        <v>301</v>
      </c>
      <c r="B30" s="229"/>
      <c r="D30" s="9" t="s">
        <v>31</v>
      </c>
      <c r="E30" s="22"/>
      <c r="F30" s="9">
        <v>100000000000</v>
      </c>
      <c r="G30" s="22"/>
      <c r="H30" s="9" t="s">
        <v>31</v>
      </c>
      <c r="I30" s="22"/>
      <c r="J30" s="9">
        <f>F30</f>
        <v>100000000000</v>
      </c>
      <c r="K30" s="22"/>
      <c r="L30" s="137">
        <v>1.9800000000000002E-2</v>
      </c>
      <c r="O30" s="75"/>
      <c r="P30" s="131"/>
      <c r="Q30" s="129"/>
    </row>
    <row r="31" spans="1:17" ht="30" customHeight="1">
      <c r="A31" s="229" t="s">
        <v>302</v>
      </c>
      <c r="B31" s="229"/>
      <c r="D31" s="9" t="s">
        <v>31</v>
      </c>
      <c r="E31" s="22"/>
      <c r="F31" s="9">
        <v>100000000000</v>
      </c>
      <c r="G31" s="22"/>
      <c r="H31" s="9" t="s">
        <v>31</v>
      </c>
      <c r="I31" s="22"/>
      <c r="J31" s="9">
        <f>F31</f>
        <v>100000000000</v>
      </c>
      <c r="K31" s="22"/>
      <c r="L31" s="137">
        <v>1.9800000000000002E-2</v>
      </c>
      <c r="O31" s="75"/>
      <c r="P31" s="131"/>
      <c r="Q31" s="129"/>
    </row>
    <row r="32" spans="1:17" ht="30" customHeight="1">
      <c r="A32" s="229" t="s">
        <v>303</v>
      </c>
      <c r="B32" s="229"/>
      <c r="D32" s="9" t="s">
        <v>31</v>
      </c>
      <c r="E32" s="22"/>
      <c r="F32" s="9">
        <v>1015020290000</v>
      </c>
      <c r="G32" s="22"/>
      <c r="H32" s="9">
        <v>1009277403287</v>
      </c>
      <c r="I32" s="22"/>
      <c r="J32" s="44">
        <f>F32-H32</f>
        <v>5742886713</v>
      </c>
      <c r="K32" s="22"/>
      <c r="L32" s="137">
        <v>1.1000000000000001E-3</v>
      </c>
      <c r="O32" s="75"/>
      <c r="P32" s="131"/>
      <c r="Q32" s="129"/>
    </row>
    <row r="33" spans="1:17" s="30" customFormat="1" ht="30" customHeight="1">
      <c r="A33" s="222" t="s">
        <v>14</v>
      </c>
      <c r="B33" s="222"/>
      <c r="D33" s="29">
        <f>SUM(D8:D32)</f>
        <v>1636262668078</v>
      </c>
      <c r="E33" s="28"/>
      <c r="F33" s="29">
        <f>SUM(F8:F32)</f>
        <v>8540074866081</v>
      </c>
      <c r="G33" s="28"/>
      <c r="H33" s="29">
        <f>SUM(H8:H32)</f>
        <v>8936015480952</v>
      </c>
      <c r="I33" s="28"/>
      <c r="J33" s="68">
        <f>SUM(J8:J32)</f>
        <v>1240322053207</v>
      </c>
      <c r="K33" s="28"/>
      <c r="L33" s="138">
        <f>SUM(L8:L32)</f>
        <v>0.24521000000000001</v>
      </c>
      <c r="N33" s="129"/>
      <c r="O33" s="129"/>
      <c r="P33" s="132"/>
      <c r="Q33" s="129"/>
    </row>
  </sheetData>
  <mergeCells count="33">
    <mergeCell ref="A27:B27"/>
    <mergeCell ref="A28:B28"/>
    <mergeCell ref="A33:B33"/>
    <mergeCell ref="A21:B21"/>
    <mergeCell ref="A22:B22"/>
    <mergeCell ref="A23:B23"/>
    <mergeCell ref="A24:B24"/>
    <mergeCell ref="A25:B25"/>
    <mergeCell ref="A29:B29"/>
    <mergeCell ref="A30:B30"/>
    <mergeCell ref="A31:B31"/>
    <mergeCell ref="A32:B32"/>
    <mergeCell ref="A17:B17"/>
    <mergeCell ref="A18:B18"/>
    <mergeCell ref="A19:B19"/>
    <mergeCell ref="A20:B20"/>
    <mergeCell ref="A26:B2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F6:H6"/>
    <mergeCell ref="J6:L6"/>
    <mergeCell ref="A5:L5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11"/>
  <sheetViews>
    <sheetView rightToLeft="1" view="pageBreakPreview" zoomScaleNormal="100" zoomScaleSheetLayoutView="100" workbookViewId="0">
      <selection activeCell="J12" sqref="J12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106" customWidth="1"/>
    <col min="9" max="9" width="0.5703125" style="106" customWidth="1"/>
    <col min="10" max="10" width="12.85546875" style="106" customWidth="1"/>
    <col min="11" max="11" width="0.28515625" customWidth="1"/>
    <col min="12" max="12" width="24.85546875" style="77" bestFit="1" customWidth="1"/>
    <col min="13" max="13" width="17.85546875" style="77" bestFit="1" customWidth="1"/>
  </cols>
  <sheetData>
    <row r="1" spans="1:13" s="20" customFormat="1" ht="30" customHeight="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L1" s="43"/>
      <c r="M1" s="43"/>
    </row>
    <row r="2" spans="1:13" s="20" customFormat="1" ht="30" customHeight="1">
      <c r="A2" s="222" t="s">
        <v>117</v>
      </c>
      <c r="B2" s="222"/>
      <c r="C2" s="222"/>
      <c r="D2" s="222"/>
      <c r="E2" s="222"/>
      <c r="F2" s="222"/>
      <c r="G2" s="222"/>
      <c r="H2" s="222"/>
      <c r="I2" s="222"/>
      <c r="J2" s="222"/>
      <c r="L2" s="43"/>
      <c r="M2" s="43"/>
    </row>
    <row r="3" spans="1:13" s="20" customFormat="1" ht="30" customHeight="1">
      <c r="A3" s="222" t="s">
        <v>284</v>
      </c>
      <c r="B3" s="222"/>
      <c r="C3" s="222"/>
      <c r="D3" s="222"/>
      <c r="E3" s="222"/>
      <c r="F3" s="222"/>
      <c r="G3" s="222"/>
      <c r="H3" s="222"/>
      <c r="I3" s="222"/>
      <c r="J3" s="222"/>
      <c r="L3" s="43"/>
      <c r="M3" s="43"/>
    </row>
    <row r="4" spans="1:13" s="21" customFormat="1" ht="30" customHeight="1">
      <c r="A4" s="221" t="s">
        <v>251</v>
      </c>
      <c r="B4" s="221"/>
      <c r="C4" s="221"/>
      <c r="D4" s="221"/>
      <c r="E4" s="221"/>
      <c r="F4" s="221"/>
      <c r="G4" s="221"/>
      <c r="H4" s="221"/>
      <c r="I4" s="221"/>
      <c r="J4" s="221"/>
      <c r="L4" s="76"/>
      <c r="M4" s="76"/>
    </row>
    <row r="5" spans="1:13" s="20" customFormat="1" ht="42" customHeight="1">
      <c r="A5" s="223" t="s">
        <v>118</v>
      </c>
      <c r="B5" s="223"/>
      <c r="D5" s="1" t="s">
        <v>119</v>
      </c>
      <c r="F5" s="1" t="s">
        <v>92</v>
      </c>
      <c r="H5" s="161" t="s">
        <v>120</v>
      </c>
      <c r="I5" s="99"/>
      <c r="J5" s="161" t="s">
        <v>121</v>
      </c>
      <c r="L5" s="43"/>
      <c r="M5" s="43"/>
    </row>
    <row r="6" spans="1:13" s="20" customFormat="1" ht="30" customHeight="1">
      <c r="A6" s="228" t="s">
        <v>122</v>
      </c>
      <c r="B6" s="228"/>
      <c r="D6" s="49" t="s">
        <v>252</v>
      </c>
      <c r="E6" s="22"/>
      <c r="F6" s="8">
        <f>'درآمد سرمایه گذاری در سهام'!J23</f>
        <v>5649776368</v>
      </c>
      <c r="G6" s="22"/>
      <c r="H6" s="165">
        <f>F6/F11</f>
        <v>6.7183908617986815E-2</v>
      </c>
      <c r="I6" s="115"/>
      <c r="J6" s="165">
        <v>1.1000000000000001E-3</v>
      </c>
      <c r="L6" s="75"/>
      <c r="M6" s="168"/>
    </row>
    <row r="7" spans="1:13" s="20" customFormat="1" ht="30" customHeight="1">
      <c r="A7" s="229" t="s">
        <v>123</v>
      </c>
      <c r="B7" s="229"/>
      <c r="D7" s="49" t="s">
        <v>124</v>
      </c>
      <c r="E7" s="22"/>
      <c r="F7" s="164">
        <f>'درآمد سرمایه گذاری در صندوق'!H20</f>
        <v>-2331154994</v>
      </c>
      <c r="G7" s="22"/>
      <c r="H7" s="79">
        <f>F7/F11</f>
        <v>-2.7720761653208786E-2</v>
      </c>
      <c r="I7" s="115"/>
      <c r="J7" s="79">
        <v>-5.0000000000000001E-4</v>
      </c>
      <c r="L7" s="75"/>
      <c r="M7" s="43"/>
    </row>
    <row r="8" spans="1:13" s="20" customFormat="1" ht="30" customHeight="1">
      <c r="A8" s="229" t="s">
        <v>125</v>
      </c>
      <c r="B8" s="229"/>
      <c r="D8" s="49" t="s">
        <v>253</v>
      </c>
      <c r="E8" s="22"/>
      <c r="F8" s="9">
        <f>'درآمد سرمایه گذاری در اوراق به'!J47</f>
        <v>42751665499</v>
      </c>
      <c r="G8" s="22"/>
      <c r="H8" s="79">
        <f>F8/F11</f>
        <v>0.50837835005641341</v>
      </c>
      <c r="I8" s="115"/>
      <c r="J8" s="79">
        <v>8.5000000000000006E-3</v>
      </c>
      <c r="L8" s="75"/>
      <c r="M8" s="43"/>
    </row>
    <row r="9" spans="1:13" s="20" customFormat="1" ht="30" customHeight="1">
      <c r="A9" s="229" t="s">
        <v>126</v>
      </c>
      <c r="B9" s="229"/>
      <c r="D9" s="49" t="s">
        <v>254</v>
      </c>
      <c r="E9" s="22"/>
      <c r="F9" s="9">
        <f>'درآمد سپرده بانکی'!D53</f>
        <v>38018682938</v>
      </c>
      <c r="G9" s="22"/>
      <c r="H9" s="79">
        <f>F9/F11</f>
        <v>0.45209642894007135</v>
      </c>
      <c r="I9" s="115"/>
      <c r="J9" s="79">
        <v>7.4999999999999997E-3</v>
      </c>
      <c r="L9" s="75"/>
      <c r="M9" s="43"/>
    </row>
    <row r="10" spans="1:13" s="20" customFormat="1" ht="30" customHeight="1">
      <c r="A10" s="229" t="s">
        <v>127</v>
      </c>
      <c r="B10" s="229"/>
      <c r="D10" s="49" t="s">
        <v>255</v>
      </c>
      <c r="E10" s="22"/>
      <c r="F10" s="10">
        <f>'سایر درآمدها'!D10</f>
        <v>5220066</v>
      </c>
      <c r="G10" s="22"/>
      <c r="H10" s="166">
        <f>F10/F11</f>
        <v>6.2074038737219625E-5</v>
      </c>
      <c r="I10" s="115"/>
      <c r="J10" s="166">
        <v>0</v>
      </c>
      <c r="L10" s="75"/>
      <c r="M10" s="43"/>
    </row>
    <row r="11" spans="1:13" s="20" customFormat="1" ht="30" customHeight="1">
      <c r="A11" s="222" t="s">
        <v>14</v>
      </c>
      <c r="B11" s="222"/>
      <c r="C11" s="30"/>
      <c r="D11" s="27"/>
      <c r="E11" s="28"/>
      <c r="F11" s="29">
        <f>SUM(F6:F10)</f>
        <v>84094189877</v>
      </c>
      <c r="G11" s="28"/>
      <c r="H11" s="167">
        <f>SUM(H6:H10)</f>
        <v>1</v>
      </c>
      <c r="I11" s="159"/>
      <c r="J11" s="167">
        <f>SUM(J6:J10)</f>
        <v>1.66E-2</v>
      </c>
      <c r="L11" s="176"/>
      <c r="M11" s="43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A5:B5"/>
    <mergeCell ref="A4:J4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Ayda Azimi</cp:lastModifiedBy>
  <cp:lastPrinted>2024-10-30T07:15:55Z</cp:lastPrinted>
  <dcterms:created xsi:type="dcterms:W3CDTF">2024-08-25T06:34:11Z</dcterms:created>
  <dcterms:modified xsi:type="dcterms:W3CDTF">2024-10-30T09:29:32Z</dcterms:modified>
</cp:coreProperties>
</file>