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amooz\Desktop\"/>
    </mc:Choice>
  </mc:AlternateContent>
  <xr:revisionPtr revIDLastSave="0" documentId="13_ncr:1_{CBE62C3A-5079-4010-A20A-0DA724B58F17}" xr6:coauthVersionLast="47" xr6:coauthVersionMax="47" xr10:uidLastSave="{00000000-0000-0000-0000-000000000000}"/>
  <bookViews>
    <workbookView xWindow="-120" yWindow="-120" windowWidth="29040" windowHeight="15840" tabRatio="912" xr2:uid="{00000000-000D-0000-FFFF-FFFF00000000}"/>
  </bookViews>
  <sheets>
    <sheet name="صورت وضعیت" sheetId="1" r:id="rId1"/>
    <sheet name="سهام" sheetId="2" r:id="rId2"/>
    <sheet name="اوراق" sheetId="5" r:id="rId3"/>
    <sheet name="مبالغ تخصیصی اوراق" sheetId="12" r:id="rId4"/>
    <sheet name="تعدیل قیمت" sheetId="6" r:id="rId5"/>
    <sheet name="اوراق مشتقه" sheetId="3" r:id="rId6"/>
    <sheet name="واحدهای صندوق" sheetId="4" r:id="rId7"/>
    <sheet name="سپرده" sheetId="7" r:id="rId8"/>
    <sheet name="درآمد" sheetId="8" r:id="rId9"/>
    <sheet name="درآمد سرمایه گذاری در سهام" sheetId="9" r:id="rId10"/>
    <sheet name="درآمد سرمایه گذاری در صندوق" sheetId="10" r:id="rId11"/>
    <sheet name="درآمد سرمایه گذاری در اوراق به" sheetId="11" r:id="rId12"/>
    <sheet name="درآمد سپرده بانکی" sheetId="13" r:id="rId13"/>
    <sheet name="سایر درآمدها" sheetId="14" r:id="rId14"/>
    <sheet name="درآمد سود سهام" sheetId="15" r:id="rId15"/>
    <sheet name="درآمد اوراق بهادار" sheetId="17" r:id="rId16"/>
    <sheet name="درآمد ناشی از تغییر قیمت اوراق" sheetId="21" r:id="rId17"/>
    <sheet name="درآمد ناشی از فروش" sheetId="19" r:id="rId18"/>
    <sheet name="سود سپرده بانکی" sheetId="18" r:id="rId19"/>
  </sheets>
  <definedNames>
    <definedName name="_xlnm.Print_Area" localSheetId="2">اوراق!$A$1:$AL$27</definedName>
    <definedName name="_xlnm.Print_Area" localSheetId="5">'اوراق مشتقه'!$A$1:$AU$11</definedName>
    <definedName name="_xlnm.Print_Area" localSheetId="4">'تعدیل قیمت'!$A$1:$M$17</definedName>
    <definedName name="_xlnm.Print_Area" localSheetId="8">درآمد!$A$1:$L$11</definedName>
    <definedName name="_xlnm.Print_Area" localSheetId="15">'درآمد اوراق بهادار'!$A$1:$R$19</definedName>
    <definedName name="_xlnm.Print_Area" localSheetId="12">'درآمد سپرده بانکی'!$A$1:$F$49</definedName>
    <definedName name="_xlnm.Print_Area" localSheetId="11">'درآمد سرمایه گذاری در اوراق به'!$A$1:$R$29</definedName>
    <definedName name="_xlnm.Print_Area" localSheetId="9">'درآمد سرمایه گذاری در سهام'!$A$1:$V$24</definedName>
    <definedName name="_xlnm.Print_Area" localSheetId="10">'درآمد سرمایه گذاری در صندوق'!$A$1:$R$32</definedName>
    <definedName name="_xlnm.Print_Area" localSheetId="14">'درآمد سود سهام'!$A$1:$T$9</definedName>
    <definedName name="_xlnm.Print_Area" localSheetId="16">'درآمد ناشی از تغییر قیمت اوراق'!$A$1:$R$43</definedName>
    <definedName name="_xlnm.Print_Area" localSheetId="17">'درآمد ناشی از فروش'!$A$1:$S$48</definedName>
    <definedName name="_xlnm.Print_Area" localSheetId="13">'سایر درآمدها'!$A$1:$G$11</definedName>
    <definedName name="_xlnm.Print_Area" localSheetId="7">سپرده!$A$1:$M$47</definedName>
    <definedName name="_xlnm.Print_Area" localSheetId="1">سهام!$A$1:$AB$14</definedName>
    <definedName name="_xlnm.Print_Area" localSheetId="18">'سود سپرده بانکی'!$A$1:$M$49</definedName>
    <definedName name="_xlnm.Print_Area" localSheetId="0">'صورت وضعیت'!$A$1:$C$43</definedName>
    <definedName name="_xlnm.Print_Area" localSheetId="3">'مبالغ تخصیصی اوراق'!$A$1:$R$13</definedName>
    <definedName name="_xlnm.Print_Area" localSheetId="6">'واحدهای صندوق'!$A$1:$AC$31</definedName>
    <definedName name="_xlnm.Print_Titles" localSheetId="12">'درآمد سپرده بانکی'!$5:$6</definedName>
    <definedName name="_xlnm.Print_Titles" localSheetId="11">'درآمد سرمایه گذاری در اوراق به'!$5:$6</definedName>
    <definedName name="_xlnm.Print_Titles" localSheetId="17">'درآمد ناشی از فروش'!$5:$6</definedName>
    <definedName name="_xlnm.Print_Titles" localSheetId="18">'سود سپرده بانکی'!$5:$6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1" i="9" l="1"/>
  <c r="U20" i="9"/>
  <c r="U19" i="9"/>
  <c r="U18" i="9"/>
  <c r="K21" i="9"/>
  <c r="K20" i="9"/>
  <c r="K19" i="9"/>
  <c r="Q23" i="10"/>
  <c r="Q31" i="10" s="1"/>
  <c r="Q29" i="10"/>
  <c r="Q28" i="10"/>
  <c r="I9" i="10"/>
  <c r="I31" i="10" s="1"/>
  <c r="I22" i="10"/>
  <c r="I23" i="10"/>
  <c r="I25" i="10"/>
  <c r="I26" i="10"/>
  <c r="I27" i="10"/>
  <c r="I28" i="10"/>
  <c r="I29" i="10"/>
  <c r="I30" i="10"/>
  <c r="I8" i="10"/>
  <c r="J10" i="8"/>
  <c r="J9" i="8"/>
  <c r="J8" i="8"/>
  <c r="J7" i="8"/>
  <c r="J6" i="8"/>
  <c r="AA9" i="2"/>
  <c r="H6" i="8"/>
  <c r="F10" i="8"/>
  <c r="S23" i="9"/>
  <c r="S22" i="9"/>
  <c r="S21" i="9"/>
  <c r="S20" i="9"/>
  <c r="S19" i="9"/>
  <c r="S18" i="9"/>
  <c r="S17" i="9"/>
  <c r="S16" i="9"/>
  <c r="S15" i="9"/>
  <c r="S14" i="9"/>
  <c r="S13" i="9"/>
  <c r="S12" i="9"/>
  <c r="S11" i="9"/>
  <c r="S10" i="9"/>
  <c r="S9" i="9"/>
  <c r="S8" i="9"/>
  <c r="Q22" i="9"/>
  <c r="Q19" i="9"/>
  <c r="O21" i="9"/>
  <c r="O20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G22" i="9"/>
  <c r="G19" i="9"/>
  <c r="E21" i="9"/>
  <c r="E20" i="9"/>
  <c r="O29" i="10"/>
  <c r="O28" i="10"/>
  <c r="M8" i="10"/>
  <c r="M31" i="10"/>
  <c r="M24" i="10"/>
  <c r="M13" i="10"/>
  <c r="M30" i="10"/>
  <c r="M27" i="10"/>
  <c r="M12" i="10"/>
  <c r="M23" i="10"/>
  <c r="M9" i="10"/>
  <c r="G29" i="10"/>
  <c r="G28" i="10"/>
  <c r="G8" i="10"/>
  <c r="E30" i="10"/>
  <c r="E27" i="10"/>
  <c r="E13" i="10"/>
  <c r="E12" i="10"/>
  <c r="E23" i="10"/>
  <c r="E8" i="10"/>
  <c r="E9" i="10"/>
  <c r="M18" i="21"/>
  <c r="C26" i="10"/>
  <c r="C29" i="10"/>
  <c r="O8" i="11"/>
  <c r="M23" i="11"/>
  <c r="E23" i="11"/>
  <c r="M7" i="11"/>
  <c r="E7" i="11"/>
  <c r="K8" i="11"/>
  <c r="C8" i="11"/>
  <c r="Q17" i="11"/>
  <c r="I17" i="11"/>
  <c r="M17" i="11"/>
  <c r="E17" i="11"/>
  <c r="K17" i="11"/>
  <c r="C17" i="11"/>
  <c r="K17" i="17"/>
  <c r="K16" i="17"/>
  <c r="K15" i="17"/>
  <c r="K14" i="17"/>
  <c r="K13" i="17"/>
  <c r="K12" i="17"/>
  <c r="K11" i="17"/>
  <c r="K10" i="17"/>
  <c r="K9" i="17"/>
  <c r="K8" i="17"/>
  <c r="Q17" i="17"/>
  <c r="Q16" i="17"/>
  <c r="Q15" i="17"/>
  <c r="Q14" i="17"/>
  <c r="Q13" i="17"/>
  <c r="Q12" i="17"/>
  <c r="Q11" i="17"/>
  <c r="Q10" i="17"/>
  <c r="Q9" i="17"/>
  <c r="Q8" i="17"/>
  <c r="Q18" i="17" s="1"/>
  <c r="C43" i="21"/>
  <c r="M42" i="21"/>
  <c r="M41" i="21"/>
  <c r="Q41" i="21" s="1"/>
  <c r="K41" i="21"/>
  <c r="I41" i="21"/>
  <c r="M24" i="21"/>
  <c r="Q24" i="21" s="1"/>
  <c r="K29" i="10" s="1"/>
  <c r="K24" i="21"/>
  <c r="I24" i="21"/>
  <c r="M22" i="21"/>
  <c r="M23" i="21"/>
  <c r="Q23" i="21" s="1"/>
  <c r="K23" i="21"/>
  <c r="I23" i="21"/>
  <c r="I12" i="21"/>
  <c r="K12" i="21"/>
  <c r="M12" i="21"/>
  <c r="Q12" i="21" s="1"/>
  <c r="O42" i="19"/>
  <c r="M42" i="19"/>
  <c r="K42" i="19"/>
  <c r="O33" i="19"/>
  <c r="M33" i="19"/>
  <c r="K33" i="19"/>
  <c r="O39" i="19"/>
  <c r="M39" i="19"/>
  <c r="K39" i="19"/>
  <c r="O41" i="19"/>
  <c r="M41" i="19"/>
  <c r="K41" i="19"/>
  <c r="O34" i="19"/>
  <c r="M34" i="19"/>
  <c r="K34" i="19"/>
  <c r="O35" i="19"/>
  <c r="M35" i="19"/>
  <c r="K35" i="19"/>
  <c r="Q18" i="19"/>
  <c r="I18" i="19"/>
  <c r="M21" i="19"/>
  <c r="O21" i="19"/>
  <c r="K21" i="19"/>
  <c r="Q20" i="19"/>
  <c r="Q19" i="19"/>
  <c r="Q17" i="19"/>
  <c r="Q16" i="19"/>
  <c r="I20" i="19"/>
  <c r="I19" i="19"/>
  <c r="I17" i="19"/>
  <c r="I16" i="19"/>
  <c r="Q13" i="19"/>
  <c r="I13" i="19"/>
  <c r="O15" i="19"/>
  <c r="M15" i="19"/>
  <c r="K15" i="19"/>
  <c r="Q11" i="19"/>
  <c r="I11" i="19"/>
  <c r="I10" i="19"/>
  <c r="Q9" i="19"/>
  <c r="Q10" i="19"/>
  <c r="I9" i="19"/>
  <c r="F49" i="13"/>
  <c r="D49" i="13"/>
  <c r="M48" i="18"/>
  <c r="M47" i="18"/>
  <c r="M46" i="18"/>
  <c r="M45" i="18"/>
  <c r="G48" i="18"/>
  <c r="G47" i="18"/>
  <c r="G46" i="18"/>
  <c r="G45" i="18"/>
  <c r="E49" i="18"/>
  <c r="M44" i="18"/>
  <c r="G44" i="18"/>
  <c r="L45" i="7"/>
  <c r="L44" i="7"/>
  <c r="L43" i="7"/>
  <c r="L42" i="7"/>
  <c r="L41" i="7"/>
  <c r="L40" i="7"/>
  <c r="L39" i="7"/>
  <c r="L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H46" i="7"/>
  <c r="J45" i="7"/>
  <c r="J44" i="7"/>
  <c r="J43" i="7"/>
  <c r="J42" i="7"/>
  <c r="J41" i="7"/>
  <c r="AA30" i="4"/>
  <c r="AA29" i="4"/>
  <c r="AA28" i="4"/>
  <c r="AA27" i="4"/>
  <c r="AA26" i="4"/>
  <c r="AA25" i="4"/>
  <c r="AA24" i="4"/>
  <c r="AA23" i="4"/>
  <c r="AA22" i="4"/>
  <c r="AA21" i="4"/>
  <c r="AA20" i="4"/>
  <c r="AA19" i="4"/>
  <c r="AA18" i="4"/>
  <c r="AA17" i="4"/>
  <c r="AA16" i="4"/>
  <c r="AA15" i="4"/>
  <c r="AA14" i="4"/>
  <c r="AA13" i="4"/>
  <c r="AA12" i="4"/>
  <c r="AA11" i="4"/>
  <c r="AA10" i="4"/>
  <c r="AA9" i="4"/>
  <c r="AA8" i="4"/>
  <c r="Y30" i="4"/>
  <c r="S29" i="4"/>
  <c r="S28" i="4"/>
  <c r="G30" i="4"/>
  <c r="I30" i="4"/>
  <c r="D30" i="4"/>
  <c r="S27" i="4"/>
  <c r="K16" i="6"/>
  <c r="C16" i="6"/>
  <c r="I15" i="6"/>
  <c r="I13" i="6"/>
  <c r="I14" i="6"/>
  <c r="I12" i="6"/>
  <c r="I11" i="6"/>
  <c r="I10" i="6"/>
  <c r="I9" i="6"/>
  <c r="E28" i="11" l="1"/>
  <c r="AL25" i="5"/>
  <c r="AL24" i="5"/>
  <c r="AL23" i="5"/>
  <c r="AL22" i="5"/>
  <c r="AL21" i="5"/>
  <c r="AL20" i="5"/>
  <c r="AL19" i="5"/>
  <c r="AL18" i="5"/>
  <c r="AL17" i="5"/>
  <c r="AL16" i="5"/>
  <c r="AL15" i="5"/>
  <c r="AL14" i="5"/>
  <c r="AL13" i="5"/>
  <c r="AL12" i="5"/>
  <c r="AL11" i="5"/>
  <c r="AL10" i="5"/>
  <c r="AL9" i="5"/>
  <c r="AL8" i="5"/>
  <c r="AJ26" i="5"/>
  <c r="AJ25" i="5"/>
  <c r="AD21" i="5"/>
  <c r="AA12" i="2"/>
  <c r="AA11" i="2"/>
  <c r="AA10" i="2"/>
  <c r="S11" i="2"/>
  <c r="O43" i="21"/>
  <c r="C24" i="9"/>
  <c r="K5" i="10"/>
  <c r="P31" i="10"/>
  <c r="N31" i="10"/>
  <c r="L31" i="10"/>
  <c r="J31" i="10"/>
  <c r="H31" i="10"/>
  <c r="F31" i="10"/>
  <c r="K9" i="11"/>
  <c r="Q9" i="11" s="1"/>
  <c r="C9" i="11"/>
  <c r="I9" i="11" s="1"/>
  <c r="K18" i="11"/>
  <c r="C18" i="11"/>
  <c r="K24" i="11"/>
  <c r="C24" i="11"/>
  <c r="I24" i="11" s="1"/>
  <c r="K23" i="11"/>
  <c r="C23" i="11"/>
  <c r="I23" i="11" s="1"/>
  <c r="K22" i="11"/>
  <c r="Q22" i="11" s="1"/>
  <c r="C22" i="11"/>
  <c r="I22" i="11" s="1"/>
  <c r="K21" i="11"/>
  <c r="Q21" i="11" s="1"/>
  <c r="C21" i="11"/>
  <c r="I21" i="11" s="1"/>
  <c r="K25" i="11"/>
  <c r="C25" i="11"/>
  <c r="I11" i="11"/>
  <c r="K7" i="11"/>
  <c r="I7" i="11"/>
  <c r="I15" i="11"/>
  <c r="M18" i="17"/>
  <c r="Q7" i="17"/>
  <c r="K7" i="17"/>
  <c r="M14" i="21"/>
  <c r="Q14" i="21" s="1"/>
  <c r="I14" i="21"/>
  <c r="K14" i="21"/>
  <c r="K42" i="21"/>
  <c r="K40" i="21"/>
  <c r="K39" i="21"/>
  <c r="K38" i="21"/>
  <c r="K37" i="21"/>
  <c r="K36" i="21"/>
  <c r="K35" i="21"/>
  <c r="K34" i="21"/>
  <c r="K33" i="21"/>
  <c r="K32" i="21"/>
  <c r="K31" i="21"/>
  <c r="K30" i="21"/>
  <c r="K29" i="21"/>
  <c r="K28" i="21"/>
  <c r="K27" i="21"/>
  <c r="K26" i="21"/>
  <c r="K25" i="21"/>
  <c r="K22" i="21"/>
  <c r="K21" i="21"/>
  <c r="K20" i="21"/>
  <c r="K19" i="21"/>
  <c r="K18" i="21"/>
  <c r="K17" i="21"/>
  <c r="K16" i="21"/>
  <c r="K15" i="21"/>
  <c r="K13" i="21"/>
  <c r="K11" i="21"/>
  <c r="K10" i="21"/>
  <c r="K9" i="21"/>
  <c r="K8" i="21"/>
  <c r="K7" i="21"/>
  <c r="Q42" i="21"/>
  <c r="M40" i="21"/>
  <c r="Q40" i="21" s="1"/>
  <c r="M10" i="11" s="1"/>
  <c r="M39" i="21"/>
  <c r="Q39" i="21" s="1"/>
  <c r="M38" i="21"/>
  <c r="Q38" i="21" s="1"/>
  <c r="M20" i="11" s="1"/>
  <c r="M37" i="21"/>
  <c r="Q37" i="21" s="1"/>
  <c r="M14" i="11" s="1"/>
  <c r="M36" i="21"/>
  <c r="Q36" i="21" s="1"/>
  <c r="M27" i="11" s="1"/>
  <c r="M35" i="21"/>
  <c r="Q35" i="21" s="1"/>
  <c r="M26" i="11" s="1"/>
  <c r="M34" i="21"/>
  <c r="Q34" i="21" s="1"/>
  <c r="M19" i="11" s="1"/>
  <c r="M33" i="21"/>
  <c r="Q33" i="21" s="1"/>
  <c r="M32" i="21"/>
  <c r="Q32" i="21" s="1"/>
  <c r="M12" i="11" s="1"/>
  <c r="M31" i="21"/>
  <c r="Q31" i="21" s="1"/>
  <c r="M13" i="11" s="1"/>
  <c r="M30" i="21"/>
  <c r="Q30" i="21" s="1"/>
  <c r="M25" i="11" s="1"/>
  <c r="M29" i="21"/>
  <c r="Q29" i="21" s="1"/>
  <c r="M18" i="11" s="1"/>
  <c r="M28" i="21"/>
  <c r="Q28" i="21" s="1"/>
  <c r="M27" i="21"/>
  <c r="Q27" i="21" s="1"/>
  <c r="M26" i="21"/>
  <c r="Q26" i="21" s="1"/>
  <c r="K19" i="10" s="1"/>
  <c r="M25" i="21"/>
  <c r="Q25" i="21" s="1"/>
  <c r="K22" i="10" s="1"/>
  <c r="O30" i="10"/>
  <c r="O27" i="10"/>
  <c r="Q22" i="21"/>
  <c r="K26" i="10" s="1"/>
  <c r="O26" i="10" s="1"/>
  <c r="M21" i="21"/>
  <c r="Q21" i="21" s="1"/>
  <c r="K25" i="10" s="1"/>
  <c r="O25" i="10" s="1"/>
  <c r="M20" i="21"/>
  <c r="Q20" i="21" s="1"/>
  <c r="K16" i="10" s="1"/>
  <c r="M19" i="21"/>
  <c r="Q19" i="21" s="1"/>
  <c r="K18" i="10" s="1"/>
  <c r="Q18" i="21"/>
  <c r="K23" i="10" s="1"/>
  <c r="M17" i="21"/>
  <c r="Q17" i="21" s="1"/>
  <c r="K8" i="10" s="1"/>
  <c r="M16" i="21"/>
  <c r="Q16" i="21" s="1"/>
  <c r="K20" i="10" s="1"/>
  <c r="M15" i="21"/>
  <c r="Q15" i="21" s="1"/>
  <c r="K9" i="10" s="1"/>
  <c r="M13" i="21"/>
  <c r="Q13" i="21" s="1"/>
  <c r="K14" i="10" s="1"/>
  <c r="M11" i="21"/>
  <c r="Q11" i="21" s="1"/>
  <c r="K11" i="10" s="1"/>
  <c r="M10" i="21"/>
  <c r="M9" i="21"/>
  <c r="Q9" i="21" s="1"/>
  <c r="K21" i="10" s="1"/>
  <c r="M8" i="21"/>
  <c r="Q8" i="21" s="1"/>
  <c r="K15" i="10" s="1"/>
  <c r="M7" i="21"/>
  <c r="Q7" i="21" s="1"/>
  <c r="K10" i="10" s="1"/>
  <c r="I42" i="21"/>
  <c r="I40" i="21"/>
  <c r="E10" i="11" s="1"/>
  <c r="I39" i="21"/>
  <c r="I38" i="21"/>
  <c r="E20" i="11" s="1"/>
  <c r="I37" i="21"/>
  <c r="E14" i="11" s="1"/>
  <c r="I36" i="21"/>
  <c r="E27" i="11" s="1"/>
  <c r="I35" i="21"/>
  <c r="E26" i="11" s="1"/>
  <c r="I34" i="21"/>
  <c r="E19" i="11" s="1"/>
  <c r="I33" i="21"/>
  <c r="I32" i="21"/>
  <c r="E12" i="11" s="1"/>
  <c r="I31" i="21"/>
  <c r="E13" i="11" s="1"/>
  <c r="I30" i="21"/>
  <c r="E25" i="11" s="1"/>
  <c r="I29" i="21"/>
  <c r="E18" i="11" s="1"/>
  <c r="I28" i="21"/>
  <c r="I27" i="21"/>
  <c r="I26" i="21"/>
  <c r="C19" i="10" s="1"/>
  <c r="I25" i="21"/>
  <c r="C22" i="10" s="1"/>
  <c r="I22" i="21"/>
  <c r="G26" i="10" s="1"/>
  <c r="I21" i="21"/>
  <c r="C25" i="10" s="1"/>
  <c r="I20" i="21"/>
  <c r="C16" i="10" s="1"/>
  <c r="I19" i="21"/>
  <c r="C18" i="10" s="1"/>
  <c r="I18" i="21"/>
  <c r="C23" i="10" s="1"/>
  <c r="I17" i="21"/>
  <c r="C8" i="10" s="1"/>
  <c r="I16" i="21"/>
  <c r="C20" i="10" s="1"/>
  <c r="I15" i="21"/>
  <c r="C9" i="10" s="1"/>
  <c r="I13" i="21"/>
  <c r="C14" i="10" s="1"/>
  <c r="I11" i="21"/>
  <c r="C11" i="10" s="1"/>
  <c r="I10" i="21"/>
  <c r="C17" i="10" s="1"/>
  <c r="I9" i="21"/>
  <c r="C21" i="10" s="1"/>
  <c r="I8" i="21"/>
  <c r="C15" i="10" s="1"/>
  <c r="I7" i="21"/>
  <c r="C10" i="10" s="1"/>
  <c r="I46" i="19"/>
  <c r="G25" i="11" s="1"/>
  <c r="I45" i="19"/>
  <c r="I44" i="19"/>
  <c r="I43" i="19"/>
  <c r="G10" i="11" s="1"/>
  <c r="I42" i="19"/>
  <c r="G20" i="11" s="1"/>
  <c r="I41" i="19"/>
  <c r="G19" i="11" s="1"/>
  <c r="I40" i="19"/>
  <c r="G26" i="11" s="1"/>
  <c r="I39" i="19"/>
  <c r="G27" i="11" s="1"/>
  <c r="I38" i="19"/>
  <c r="G13" i="11" s="1"/>
  <c r="I37" i="19"/>
  <c r="I36" i="19"/>
  <c r="I35" i="19"/>
  <c r="G16" i="11" s="1"/>
  <c r="I34" i="19"/>
  <c r="G12" i="11" s="1"/>
  <c r="I33" i="19"/>
  <c r="G14" i="11" s="1"/>
  <c r="I32" i="19"/>
  <c r="G11" i="9" s="1"/>
  <c r="I31" i="19"/>
  <c r="G16" i="9" s="1"/>
  <c r="I30" i="19"/>
  <c r="I29" i="19"/>
  <c r="I28" i="19"/>
  <c r="I27" i="19"/>
  <c r="I26" i="19"/>
  <c r="I25" i="19"/>
  <c r="I24" i="19"/>
  <c r="I23" i="19"/>
  <c r="I22" i="19"/>
  <c r="I21" i="19"/>
  <c r="E16" i="10" s="1"/>
  <c r="I15" i="19"/>
  <c r="E20" i="10" s="1"/>
  <c r="I14" i="19"/>
  <c r="I12" i="19"/>
  <c r="E10" i="10" s="1"/>
  <c r="I8" i="19"/>
  <c r="G23" i="9" s="1"/>
  <c r="Q46" i="19"/>
  <c r="O25" i="11" s="1"/>
  <c r="Q45" i="19"/>
  <c r="Q44" i="19"/>
  <c r="Q43" i="19"/>
  <c r="O10" i="11" s="1"/>
  <c r="Q42" i="19"/>
  <c r="O20" i="11" s="1"/>
  <c r="Q41" i="19"/>
  <c r="O19" i="11" s="1"/>
  <c r="Q40" i="19"/>
  <c r="O26" i="11" s="1"/>
  <c r="Q39" i="19"/>
  <c r="O27" i="11" s="1"/>
  <c r="Q38" i="19"/>
  <c r="O13" i="11" s="1"/>
  <c r="Q37" i="19"/>
  <c r="Q47" i="19" s="1"/>
  <c r="Q36" i="19"/>
  <c r="Q35" i="19"/>
  <c r="O16" i="11" s="1"/>
  <c r="Q34" i="19"/>
  <c r="O12" i="11" s="1"/>
  <c r="Q33" i="19"/>
  <c r="O14" i="11" s="1"/>
  <c r="Q32" i="19"/>
  <c r="Q11" i="9" s="1"/>
  <c r="Q31" i="19"/>
  <c r="Q16" i="9" s="1"/>
  <c r="Q30" i="19"/>
  <c r="Q29" i="19"/>
  <c r="Q28" i="19"/>
  <c r="Q27" i="19"/>
  <c r="Q26" i="19"/>
  <c r="Q25" i="19"/>
  <c r="Q24" i="19"/>
  <c r="Q23" i="19"/>
  <c r="Q22" i="19"/>
  <c r="Q21" i="19"/>
  <c r="M16" i="10" s="1"/>
  <c r="Q15" i="19"/>
  <c r="M20" i="10" s="1"/>
  <c r="Q14" i="19"/>
  <c r="Q12" i="19"/>
  <c r="M10" i="10" s="1"/>
  <c r="Q8" i="19"/>
  <c r="Q23" i="9" s="1"/>
  <c r="Q7" i="19"/>
  <c r="Q18" i="9" s="1"/>
  <c r="I7" i="19"/>
  <c r="G18" i="9" s="1"/>
  <c r="M7" i="18"/>
  <c r="M43" i="18"/>
  <c r="M42" i="18"/>
  <c r="M41" i="18"/>
  <c r="M40" i="18"/>
  <c r="M39" i="18"/>
  <c r="M38" i="18"/>
  <c r="M37" i="18"/>
  <c r="M36" i="18"/>
  <c r="M35" i="18"/>
  <c r="M34" i="18"/>
  <c r="M33" i="18"/>
  <c r="M32" i="18"/>
  <c r="M31" i="18"/>
  <c r="M30" i="18"/>
  <c r="M29" i="18"/>
  <c r="M28" i="18"/>
  <c r="M27" i="18"/>
  <c r="M26" i="18"/>
  <c r="M25" i="18"/>
  <c r="M24" i="18"/>
  <c r="M23" i="18"/>
  <c r="M22" i="18"/>
  <c r="M21" i="18"/>
  <c r="M20" i="18"/>
  <c r="M19" i="18"/>
  <c r="M18" i="18"/>
  <c r="M17" i="18"/>
  <c r="M16" i="18"/>
  <c r="M15" i="18"/>
  <c r="M14" i="18"/>
  <c r="M13" i="18"/>
  <c r="M12" i="18"/>
  <c r="M11" i="18"/>
  <c r="M10" i="18"/>
  <c r="M9" i="18"/>
  <c r="M8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43" i="18"/>
  <c r="G42" i="18"/>
  <c r="G41" i="18"/>
  <c r="G40" i="18"/>
  <c r="G39" i="18"/>
  <c r="G38" i="18"/>
  <c r="G37" i="18"/>
  <c r="G36" i="18"/>
  <c r="G35" i="18"/>
  <c r="G34" i="18"/>
  <c r="G33" i="18"/>
  <c r="G32" i="18"/>
  <c r="G31" i="18"/>
  <c r="G30" i="18"/>
  <c r="G29" i="18"/>
  <c r="G28" i="18"/>
  <c r="G27" i="18"/>
  <c r="G26" i="18"/>
  <c r="G25" i="18"/>
  <c r="G24" i="18"/>
  <c r="G23" i="18"/>
  <c r="G22" i="18"/>
  <c r="G21" i="18"/>
  <c r="G20" i="18"/>
  <c r="G19" i="18"/>
  <c r="L49" i="18"/>
  <c r="K49" i="18"/>
  <c r="J49" i="18"/>
  <c r="I49" i="18"/>
  <c r="H49" i="18"/>
  <c r="F49" i="18"/>
  <c r="C49" i="18"/>
  <c r="J40" i="7"/>
  <c r="D46" i="7"/>
  <c r="I46" i="7"/>
  <c r="F46" i="7"/>
  <c r="S16" i="4"/>
  <c r="S17" i="4"/>
  <c r="J12" i="12"/>
  <c r="P26" i="5"/>
  <c r="O24" i="10"/>
  <c r="G24" i="10"/>
  <c r="M24" i="9"/>
  <c r="Q24" i="11"/>
  <c r="Q23" i="11"/>
  <c r="Q15" i="11"/>
  <c r="Q11" i="11"/>
  <c r="Q8" i="11"/>
  <c r="Q7" i="11"/>
  <c r="I8" i="11"/>
  <c r="G43" i="21"/>
  <c r="E24" i="9" l="1"/>
  <c r="C28" i="10"/>
  <c r="K28" i="10"/>
  <c r="C31" i="10"/>
  <c r="Q18" i="11"/>
  <c r="I18" i="11"/>
  <c r="Q12" i="11"/>
  <c r="I16" i="11"/>
  <c r="O24" i="9"/>
  <c r="Q13" i="11"/>
  <c r="I25" i="11"/>
  <c r="Q19" i="11"/>
  <c r="Q20" i="11"/>
  <c r="Q27" i="11"/>
  <c r="Q26" i="11"/>
  <c r="I12" i="11"/>
  <c r="Q10" i="11"/>
  <c r="G27" i="10"/>
  <c r="Q14" i="11"/>
  <c r="I27" i="11"/>
  <c r="G30" i="10"/>
  <c r="I13" i="11"/>
  <c r="Q25" i="11"/>
  <c r="I26" i="11"/>
  <c r="I19" i="11"/>
  <c r="I20" i="11"/>
  <c r="Q16" i="11"/>
  <c r="I10" i="11"/>
  <c r="Q10" i="21"/>
  <c r="K17" i="10" s="1"/>
  <c r="K31" i="10" s="1"/>
  <c r="G25" i="10"/>
  <c r="E31" i="10"/>
  <c r="Q24" i="9"/>
  <c r="G24" i="9"/>
  <c r="I14" i="11"/>
  <c r="I43" i="21"/>
  <c r="G49" i="18"/>
  <c r="F10" i="14"/>
  <c r="K47" i="19"/>
  <c r="C47" i="19"/>
  <c r="E47" i="19"/>
  <c r="G47" i="19"/>
  <c r="I47" i="19"/>
  <c r="M47" i="19"/>
  <c r="O47" i="19"/>
  <c r="D49" i="18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8" i="7"/>
  <c r="J7" i="7"/>
  <c r="S26" i="4"/>
  <c r="S25" i="4"/>
  <c r="S24" i="4"/>
  <c r="S23" i="4"/>
  <c r="S22" i="4"/>
  <c r="S21" i="4"/>
  <c r="S20" i="4"/>
  <c r="S19" i="4"/>
  <c r="S18" i="4"/>
  <c r="S15" i="4"/>
  <c r="S14" i="4"/>
  <c r="S13" i="4"/>
  <c r="S12" i="4"/>
  <c r="S11" i="4"/>
  <c r="S10" i="4"/>
  <c r="K30" i="4"/>
  <c r="Q30" i="4"/>
  <c r="P30" i="4"/>
  <c r="O30" i="4"/>
  <c r="N30" i="4"/>
  <c r="M30" i="4"/>
  <c r="L30" i="4"/>
  <c r="J30" i="4"/>
  <c r="H30" i="4"/>
  <c r="F30" i="4"/>
  <c r="E30" i="4"/>
  <c r="X30" i="4"/>
  <c r="V26" i="5"/>
  <c r="AD11" i="5"/>
  <c r="AD10" i="5"/>
  <c r="AD9" i="5"/>
  <c r="AD8" i="5"/>
  <c r="AD12" i="5"/>
  <c r="W13" i="2"/>
  <c r="E13" i="2"/>
  <c r="I13" i="2"/>
  <c r="K13" i="2"/>
  <c r="Q13" i="2"/>
  <c r="O13" i="2"/>
  <c r="M13" i="2"/>
  <c r="L46" i="7" l="1"/>
  <c r="J46" i="7"/>
  <c r="K8" i="15"/>
  <c r="O23" i="10"/>
  <c r="O22" i="10"/>
  <c r="O21" i="10"/>
  <c r="O20" i="10"/>
  <c r="O19" i="10"/>
  <c r="O18" i="10"/>
  <c r="O17" i="10"/>
  <c r="O16" i="10"/>
  <c r="O15" i="10"/>
  <c r="O14" i="10"/>
  <c r="O13" i="10"/>
  <c r="O12" i="10"/>
  <c r="O11" i="10"/>
  <c r="O10" i="10"/>
  <c r="O9" i="10"/>
  <c r="O8" i="10"/>
  <c r="G23" i="10"/>
  <c r="G22" i="10"/>
  <c r="G21" i="10"/>
  <c r="G20" i="10"/>
  <c r="G19" i="10"/>
  <c r="G17" i="10"/>
  <c r="G16" i="10"/>
  <c r="G15" i="10"/>
  <c r="G14" i="10"/>
  <c r="G13" i="10"/>
  <c r="G12" i="10"/>
  <c r="G11" i="10"/>
  <c r="G10" i="10"/>
  <c r="G9" i="10"/>
  <c r="G18" i="10"/>
  <c r="D10" i="14"/>
  <c r="K43" i="21"/>
  <c r="E43" i="21"/>
  <c r="M43" i="21"/>
  <c r="P43" i="21"/>
  <c r="N43" i="21"/>
  <c r="L43" i="21"/>
  <c r="J43" i="21"/>
  <c r="H43" i="21"/>
  <c r="F43" i="21"/>
  <c r="I24" i="9" l="1"/>
  <c r="G31" i="10"/>
  <c r="F7" i="8" s="1"/>
  <c r="O31" i="10"/>
  <c r="S24" i="9"/>
  <c r="I28" i="11"/>
  <c r="Q43" i="21"/>
  <c r="AD19" i="5"/>
  <c r="AD25" i="5"/>
  <c r="S10" i="2" l="1"/>
  <c r="Y10" i="2" s="1"/>
  <c r="T26" i="5"/>
  <c r="W30" i="4"/>
  <c r="AH26" i="5" l="1"/>
  <c r="AB26" i="5"/>
  <c r="Z26" i="5"/>
  <c r="X26" i="5"/>
  <c r="R26" i="5"/>
  <c r="G13" i="2" l="1"/>
  <c r="S12" i="2"/>
  <c r="S9" i="2"/>
  <c r="Y12" i="2" l="1"/>
  <c r="S13" i="2"/>
  <c r="F6" i="8"/>
  <c r="Q8" i="15"/>
  <c r="O8" i="15"/>
  <c r="M8" i="15"/>
  <c r="I8" i="15"/>
  <c r="M49" i="18" l="1"/>
  <c r="S8" i="4"/>
  <c r="S9" i="4"/>
  <c r="S30" i="4" l="1"/>
  <c r="AD13" i="5"/>
  <c r="AD15" i="5"/>
  <c r="AD24" i="5"/>
  <c r="AD23" i="5"/>
  <c r="AD22" i="5"/>
  <c r="AD20" i="5"/>
  <c r="AD18" i="5"/>
  <c r="AD17" i="5"/>
  <c r="AD16" i="5"/>
  <c r="AD14" i="5"/>
  <c r="AL26" i="5" l="1"/>
  <c r="AD26" i="5"/>
  <c r="Y9" i="2"/>
  <c r="K18" i="17"/>
  <c r="G18" i="17"/>
  <c r="F9" i="8"/>
  <c r="AA13" i="2" l="1"/>
  <c r="Y13" i="2"/>
  <c r="Q28" i="11"/>
  <c r="O28" i="11"/>
  <c r="G28" i="11"/>
  <c r="F5" i="14" l="1"/>
  <c r="S8" i="15" l="1"/>
  <c r="F8" i="8"/>
  <c r="C28" i="11"/>
  <c r="J11" i="8" l="1"/>
  <c r="F11" i="8"/>
  <c r="K5" i="21"/>
  <c r="K5" i="19"/>
  <c r="I5" i="18"/>
  <c r="M5" i="17"/>
  <c r="O5" i="15"/>
  <c r="F5" i="13"/>
  <c r="K5" i="11"/>
  <c r="Q8" i="10" l="1"/>
  <c r="K22" i="9"/>
  <c r="U22" i="9"/>
  <c r="U8" i="9"/>
  <c r="K18" i="9"/>
  <c r="U13" i="9"/>
  <c r="K23" i="9"/>
  <c r="Q16" i="10"/>
  <c r="Q30" i="10"/>
  <c r="Q15" i="10"/>
  <c r="Q27" i="10"/>
  <c r="Q14" i="10"/>
  <c r="Q25" i="10"/>
  <c r="Q12" i="10"/>
  <c r="Q24" i="10"/>
  <c r="Q11" i="10"/>
  <c r="Q10" i="10"/>
  <c r="Q22" i="10"/>
  <c r="Q21" i="10"/>
  <c r="Q9" i="10"/>
  <c r="Q26" i="10"/>
  <c r="Q20" i="10"/>
  <c r="Q19" i="10"/>
  <c r="Q18" i="10"/>
  <c r="Q13" i="10"/>
  <c r="Q17" i="10"/>
  <c r="I24" i="10"/>
  <c r="I13" i="10"/>
  <c r="I17" i="10"/>
  <c r="I11" i="10"/>
  <c r="I16" i="10"/>
  <c r="I19" i="10"/>
  <c r="I14" i="10"/>
  <c r="I10" i="10"/>
  <c r="I15" i="10"/>
  <c r="I21" i="10"/>
  <c r="I12" i="10"/>
  <c r="I18" i="10"/>
  <c r="I20" i="10"/>
  <c r="K28" i="11"/>
  <c r="M28" i="11"/>
  <c r="K24" i="9" l="1"/>
  <c r="U24" i="9"/>
  <c r="H8" i="8"/>
  <c r="H7" i="8" l="1"/>
  <c r="H9" i="8"/>
  <c r="H10" i="8"/>
  <c r="H11" i="8" l="1"/>
</calcChain>
</file>

<file path=xl/sharedStrings.xml><?xml version="1.0" encoding="utf-8"?>
<sst xmlns="http://schemas.openxmlformats.org/spreadsheetml/2006/main" count="739" uniqueCount="304">
  <si>
    <t>صندوق در اوراق بهادار با درآمد ثابت سام</t>
  </si>
  <si>
    <t>صورت وضعیت پرتفوی</t>
  </si>
  <si>
    <t>تغییرات طی دوره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</si>
  <si>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</si>
  <si>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</si>
  <si>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</si>
  <si>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</si>
  <si>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</si>
  <si>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</si>
  <si>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</si>
  <si>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</si>
  <si>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</si>
  <si>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جمع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</si>
  <si>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</si>
  <si>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</si>
  <si>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</si>
  <si>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</si>
  <si>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</si>
  <si>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</si>
  <si>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</si>
  <si>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</si>
  <si>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</si>
  <si>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</si>
  <si>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-</t>
  </si>
  <si>
    <t>خرید/صدور طی دوره</t>
  </si>
  <si>
    <t>فروش/ابطال طی دوره</t>
  </si>
  <si>
    <t>صندوق</t>
  </si>
  <si>
    <t>تعداد واحد</t>
  </si>
  <si>
    <t>صندوق اهرمی جهش-واحدهای عادی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</si>
  <si>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</si>
  <si>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</si>
  <si>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</si>
  <si>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</si>
  <si>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</si>
  <si>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</si>
  <si>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</si>
  <si>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اسناد خزانه-م11بودجه02-050720</t>
  </si>
  <si>
    <t>بله</t>
  </si>
  <si>
    <t>1402/12/29</t>
  </si>
  <si>
    <t>1405/07/20</t>
  </si>
  <si>
    <t>اسناد خزانه-م13بودجه02-051021</t>
  </si>
  <si>
    <t>1405/10/21</t>
  </si>
  <si>
    <t>اسنادخزانه-م1بودجه02-050325</t>
  </si>
  <si>
    <t>1402/06/19</t>
  </si>
  <si>
    <t>1405/03/25</t>
  </si>
  <si>
    <t>اسنادخزانه-م2بودجه02-050923</t>
  </si>
  <si>
    <t>1405/09/23</t>
  </si>
  <si>
    <t>صکوک اجاره فارس07-بدون ضامن</t>
  </si>
  <si>
    <t>1403/03/07</t>
  </si>
  <si>
    <t>1407/03/07</t>
  </si>
  <si>
    <t>مرابحه الکترومادیرا-کیان060626</t>
  </si>
  <si>
    <t>1402/06/26</t>
  </si>
  <si>
    <t>1406/06/26</t>
  </si>
  <si>
    <t>مرابحه عام دولت126-ش.خ031223</t>
  </si>
  <si>
    <t>1403/12/23</t>
  </si>
  <si>
    <t>مرابحه عام دولت139-ش.خ040804</t>
  </si>
  <si>
    <t>1402/07/04</t>
  </si>
  <si>
    <t>1404/08/03</t>
  </si>
  <si>
    <t>1402/08/09</t>
  </si>
  <si>
    <t>مرابحه عام دولت143-ش.خ041009</t>
  </si>
  <si>
    <t>1404/10/08</t>
  </si>
  <si>
    <t>مرابحه کرمان موتور-کیان051223</t>
  </si>
  <si>
    <t>1402/12/23</t>
  </si>
  <si>
    <t>1405/12/23</t>
  </si>
  <si>
    <t>اسناد خزانه-م12بودجه02-050916</t>
  </si>
  <si>
    <t>1405/09/16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</si>
  <si>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</si>
  <si>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</si>
  <si>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</si>
  <si>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</si>
  <si>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</si>
  <si>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</si>
  <si>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</si>
  <si>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سپرده های بانکی</t>
  </si>
  <si>
    <t>مبلغ</t>
  </si>
  <si>
    <t>افزایش</t>
  </si>
  <si>
    <t>کاهش</t>
  </si>
  <si>
    <t>سپرده کوتاه مدت بانک خاورمیانه نیایش 101310810707074930</t>
  </si>
  <si>
    <t>سپرده کوتاه مدت بانک گردشگری آپادانا 120.9967.1403785.1</t>
  </si>
  <si>
    <t>سپرده کوتاه مدت موسسه اعتباری ملل مرزداران 0532-10-277-000000395</t>
  </si>
  <si>
    <t>سپرده کوتاه مدت بانک آینده امانیه 0203865146003</t>
  </si>
  <si>
    <t>سپرده کوتاه مدت بانک دی یوسف آباد 0214400000003</t>
  </si>
  <si>
    <t>سپرده کوتاه مدت بانک ملت بهار جنوبی 9942376537</t>
  </si>
  <si>
    <t>سپرده کوتاه مدت بانک ملی بورس اوراق بهادار 0230972429004</t>
  </si>
  <si>
    <t>سپرده کوتاه مدت بانک سپه بلوار کشاورز تهران 3130094301037</t>
  </si>
  <si>
    <t>سپرده کوتاه مدت بانک اقتصاد نوین میدان ونک 155-850-7256601-1</t>
  </si>
  <si>
    <t>سپرده کوتاه مدت بانک گردشگری نیاوران 146.9967.1403785.1</t>
  </si>
  <si>
    <t>سپرده کوتاه مدت بانک ملت گلشهر 2209379182</t>
  </si>
  <si>
    <t>صورت وضعیت درآمدها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</si>
  <si>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</si>
  <si>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</si>
  <si>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</si>
  <si>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</si>
  <si>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</si>
  <si>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</si>
  <si>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</si>
  <si>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</si>
  <si>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</si>
  <si>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سایر درآمدها</t>
  </si>
  <si>
    <t>طی ماه</t>
  </si>
  <si>
    <t>سهام</t>
  </si>
  <si>
    <t>درآمد سود سهام</t>
  </si>
  <si>
    <t>درآمد تغییر ارزش</t>
  </si>
  <si>
    <t>درآمد فروش</t>
  </si>
  <si>
    <t>عنوان</t>
  </si>
  <si>
    <t>درآمد سود اوراق</t>
  </si>
  <si>
    <t>مرابحه عام دولت112-ش.خ 040408</t>
  </si>
  <si>
    <t>اسنادخزانه-م4بودجه01-040917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</si>
  <si>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</si>
  <si>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</si>
  <si>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</si>
  <si>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</si>
  <si>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</si>
  <si>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</si>
  <si>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</si>
  <si>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سایر</t>
  </si>
  <si>
    <t>نام سپرده بانکی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</si>
  <si>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</si>
  <si>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</si>
  <si>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</si>
  <si>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</si>
  <si>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</si>
  <si>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</si>
  <si>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</si>
  <si>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</si>
  <si>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</si>
  <si>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1402/12/20</t>
  </si>
  <si>
    <t>سود اوراق بهادار با درآمد ثابت</t>
  </si>
  <si>
    <t>نرخ سود علی الحساب</t>
  </si>
  <si>
    <t>درآمد سود</t>
  </si>
  <si>
    <t>خالص درآمد</t>
  </si>
  <si>
    <t>1404/04/07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</si>
  <si>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</si>
  <si>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</si>
  <si>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</si>
  <si>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</si>
  <si>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</si>
  <si>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</si>
  <si>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</si>
  <si>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‫دلیل تعدیل</t>
  </si>
  <si>
    <t>نگهداری تا سررسید</t>
  </si>
  <si>
    <t>مرابحه الکترومادیرا-کیان</t>
  </si>
  <si>
    <t>مرابحه کرمان موتور- کیان</t>
  </si>
  <si>
    <t>از ابتدای سال مالی تا پایان ماه</t>
  </si>
  <si>
    <t>1- سرمایه گذاری ها</t>
  </si>
  <si>
    <t>1-1 سرمایه گذاری در سهام و حق تقدم سهام</t>
  </si>
  <si>
    <t>اسنادخزانه-م10بودجه02-051112</t>
  </si>
  <si>
    <t>1403/12/21</t>
  </si>
  <si>
    <t>1405/11/12</t>
  </si>
  <si>
    <t xml:space="preserve">1-2-سرمایه‌گذاری در اوراق بهادار با درآمد ثابت یا علی‌الحساب  </t>
  </si>
  <si>
    <t>1-3-سرمایه‌گذاری در واحدهای صندوق های سرمایه گذاری</t>
  </si>
  <si>
    <t>1-4-سرمایه‌گذاری در  سپرده‌ بانکی</t>
  </si>
  <si>
    <t>2-درآمد حاصل از سرمایه گذاری ها</t>
  </si>
  <si>
    <t>2-1</t>
  </si>
  <si>
    <t>2-3</t>
  </si>
  <si>
    <t>2-4</t>
  </si>
  <si>
    <t>2-5</t>
  </si>
  <si>
    <t>2-1-درآمد حاصل از سرمایه­گذاری در سهام و حق تقدم سهام</t>
  </si>
  <si>
    <t>2-2- درآمد حاصل از سرمایه­گذاری در واحدهای صندوق</t>
  </si>
  <si>
    <t>2-3- درآمد حاصل از سرمایه­گذاری در اوراق بهادار با درآمد ثابت</t>
  </si>
  <si>
    <t>2-4- درآمد حاصل از سرمایه­گذاری در سپرده بانکی و گواهی سپرده</t>
  </si>
  <si>
    <t>2-5- سایر درآمدها</t>
  </si>
  <si>
    <t xml:space="preserve">سود سپرده بانکی </t>
  </si>
  <si>
    <t>1-2-2- مبالغ تخصیص یافته بابت خرید و نگهداری اوراق بهادار با درآمد ثابت (نرخ سود ترجیحی)</t>
  </si>
  <si>
    <t>اسناد خزانه-م8بودجه02-041211</t>
  </si>
  <si>
    <t>مرابحه افق قلعه پارسیان060722</t>
  </si>
  <si>
    <t>1406/07/22</t>
  </si>
  <si>
    <t>شهرداری شیراز</t>
  </si>
  <si>
    <t>1406/12/28</t>
  </si>
  <si>
    <t>مرابحه افق قلعه پارسیان 060722</t>
  </si>
  <si>
    <t>قیمت ابطال هر واحد</t>
  </si>
  <si>
    <t>اسنادخزانه-م8بودجه02-041211</t>
  </si>
  <si>
    <t>خیر</t>
  </si>
  <si>
    <t>1403/07/22</t>
  </si>
  <si>
    <t>1404/12/10</t>
  </si>
  <si>
    <t>مرابحه افق قلعه پارسیان</t>
  </si>
  <si>
    <t>اطلاعات آماری مرتبط با اوراق اختیار فروش تبعی خریداری شده توسط صندوق سرمایه گذاری</t>
  </si>
  <si>
    <t>صندوق س. اهرمی کاریزما</t>
  </si>
  <si>
    <t>مرابحه عام دولت112-ش.خ040408</t>
  </si>
  <si>
    <t>1402/12/28</t>
  </si>
  <si>
    <t>صندوق س.سهامی تیام</t>
  </si>
  <si>
    <t>صندوق س. سهام زرین کوروش</t>
  </si>
  <si>
    <t>صندوق س. زیتون نماد پایا</t>
  </si>
  <si>
    <t>سپرده کوتاه مدت بانک پاسارگاد جهان کودک 2908100156920331</t>
  </si>
  <si>
    <t>حساب جاری بانک خاورمیانه نیایش 101311040707075301</t>
  </si>
  <si>
    <t>سپرده بلند مدت بانک پاسارگاد جهان کودک 290303156920334</t>
  </si>
  <si>
    <t>سپرده کوتاه مدت بانک شهر کامرانیه 7001004371365</t>
  </si>
  <si>
    <t>سپرده بلند مدت بانک گردشگری آپادانا 12033314037859</t>
  </si>
  <si>
    <t>سپرده بلند مدت بانک گردشگری نیاوران 14633314037854</t>
  </si>
  <si>
    <t>سپرده بلند مدت بانک ملت گلشهر 2341405836</t>
  </si>
  <si>
    <t>سپرده بلند مدت بانک پاسارگاد جهان کودک 290303156920335</t>
  </si>
  <si>
    <t>سپرده بلند مدت بانک پاسارگاد جهان کودک 290303156920336</t>
  </si>
  <si>
    <t>سپرده بلند مدت بانک ملت گلشهر 2367146692</t>
  </si>
  <si>
    <t>سپرده بلند مدت بانک پاسارگاد جهان کودک 290303156920337</t>
  </si>
  <si>
    <t>سپرده بلند مدت بانک ملت گلشهر 2405485818</t>
  </si>
  <si>
    <t>سپرده بلند مدت بانک پاسارگاد جهان کودک 290303156920338</t>
  </si>
  <si>
    <t>توسعه نیشکر و  صنایع جانبی</t>
  </si>
  <si>
    <t>فرآورده های دامی ولبنی دالاهو</t>
  </si>
  <si>
    <t>مدیریت نیروگاهی ایرانیان مپنا</t>
  </si>
  <si>
    <t>سرمایه گذاری تامین اجتماعی</t>
  </si>
  <si>
    <t>نساجی بابکان</t>
  </si>
  <si>
    <t>اسناد خزانه-م7بودجه02-040910</t>
  </si>
  <si>
    <t>1404/09/10</t>
  </si>
  <si>
    <t>صندوق س.آرمان سپهر آتی-م</t>
  </si>
  <si>
    <t>صندوق س. سهامی اکسیژن-س</t>
  </si>
  <si>
    <t>صندوق س.پشتوانه طلای ویستا</t>
  </si>
  <si>
    <t>بانک صادرات شعبه سیدخندان  0219726921009</t>
  </si>
  <si>
    <t>بانک صادرات شعبه سیدخندان  0407533535004</t>
  </si>
  <si>
    <t>بانک گردشگری شعبه نیاوران  14633314037856</t>
  </si>
  <si>
    <t>بانک پاسارگاد شعبه جهان کودک  290303156920339</t>
  </si>
  <si>
    <t>بانک گردشگری شعبه آپادانا  120333140378511</t>
  </si>
  <si>
    <t>بانک گردشگری شعبه آپادانا  120333140378512</t>
  </si>
  <si>
    <t>سپرده بلند مدت بانک صادرات سیدخندان  0407533535004</t>
  </si>
  <si>
    <t>سپرده بلند مدت بانک گردشگری نیاوران شماره 14633314037856</t>
  </si>
  <si>
    <t>سپرده بلند مدت بانک پاسارگاد جهان کودک 290303156920339</t>
  </si>
  <si>
    <t>سپرده بلند مدت بانک گردشگری آپادانا 120333140378511</t>
  </si>
  <si>
    <t>سپرده بلند مدت بانک گردشگری آپادانا 120333140378512</t>
  </si>
  <si>
    <t>صندوق س.بخشی صنایع سورنا</t>
  </si>
  <si>
    <t>صندوق س صنایع دایا2</t>
  </si>
  <si>
    <t>صندوق سرمایه گذاری برلیان</t>
  </si>
  <si>
    <t>صندوق واسطه گری مالی یکم</t>
  </si>
  <si>
    <t>صندوق پالایشی یکم</t>
  </si>
  <si>
    <t>صندوق س.بخشی فلز فارابی</t>
  </si>
  <si>
    <t>صندوق س.آرمان سپهر آتی</t>
  </si>
  <si>
    <t>صندوق س. سهامی اکسیژن</t>
  </si>
  <si>
    <t>1403/11/30</t>
  </si>
  <si>
    <t>ایمن خودرو شرق</t>
  </si>
  <si>
    <t>اخشان خراسان</t>
  </si>
  <si>
    <t>نساجی هدیه البرز مشهد</t>
  </si>
  <si>
    <t>تولید انرژی برق شمس پاسارگاد</t>
  </si>
  <si>
    <t>اسنادخزانه-م4بودجه02-051021</t>
  </si>
  <si>
    <t>صندوق س.بخشی صنایع سورنا2</t>
  </si>
  <si>
    <t>صندوق س.بخشی شایسته فردا</t>
  </si>
  <si>
    <t>صنایع الکترونیک مادیران</t>
  </si>
  <si>
    <t>موسسه اعتباری ملل __ سپرده کوتاه مدت 0532.10.277.000000395</t>
  </si>
  <si>
    <t>سپرده کوتاه مدت موسسه اعتباری ملل مرزداران 053210277000000395</t>
  </si>
  <si>
    <t>1401/12/08</t>
  </si>
  <si>
    <t>1404/09/16</t>
  </si>
  <si>
    <t>صندوق اهرمی جهش</t>
  </si>
  <si>
    <t>آلومینای ایران</t>
  </si>
  <si>
    <t>مرابحه عام دولت201-ش.خ060430</t>
  </si>
  <si>
    <t>1406/04/30</t>
  </si>
  <si>
    <t>صندوق س ارزش آفرین فولاد-سهام</t>
  </si>
  <si>
    <t>صندوق س.مشترک دیار-سهام</t>
  </si>
  <si>
    <t>صندوق س.پشتوانه طلا نهایت نگر</t>
  </si>
  <si>
    <t>صندوق س.پشتوانه طلای صبا</t>
  </si>
  <si>
    <t>بانک پاسارگاد شعبه جهان کودک - 290304156920331</t>
  </si>
  <si>
    <t>بانک گردشگری شعبه نیاوران - 14633314037857</t>
  </si>
  <si>
    <t>بانک پاسارگاد شعبه جهان کودک - 290304156920332</t>
  </si>
  <si>
    <t>بانک گردشگری شعبه آپادانا - 120333140378513</t>
  </si>
  <si>
    <t>بانک دی شعبه حافظ - 0206526917003</t>
  </si>
  <si>
    <t>بانک دی شعبه حافظ - 0406527164007</t>
  </si>
  <si>
    <t>سپرده بانک پاسارگاد شعبه جهان کودک شماره حساب 290304156920331</t>
  </si>
  <si>
    <t>سپرده بانک گردشگری شعبه نیاوران شماره حساب 14633314037857</t>
  </si>
  <si>
    <t>سپرده بانک پاسارگاد شعبه جهان کودک شماره حساب 290304156920332</t>
  </si>
  <si>
    <t>سپرده بانک گردشگری شعبه نیاوران شماره حساب 120333140378513</t>
  </si>
  <si>
    <t>سپرده بانک دی شعبه حافظ شماره حساب 0406528138000</t>
  </si>
  <si>
    <t xml:space="preserve"> سپرده بانک صادرات شعبه سیدخندان شماره حساب 0219726921009</t>
  </si>
  <si>
    <t xml:space="preserve"> سپرده بانک دی شعبه حافظ شماره حساب 0406527164007</t>
  </si>
  <si>
    <t>سپرده بانک دی شعبه حافظ شماره حساب 0406527164007</t>
  </si>
  <si>
    <t>صندوق اهرمی کاریزما</t>
  </si>
  <si>
    <t>صندوق بخشی شایسته فردا</t>
  </si>
  <si>
    <t>صندوق بخشی فلز فارابی</t>
  </si>
  <si>
    <t>صندوق پشتوانه طلای ویستا</t>
  </si>
  <si>
    <t>صندوق سهامی اکسیژن</t>
  </si>
  <si>
    <t>صندوق آرمان سپهر آتی</t>
  </si>
  <si>
    <t>صندوق زیتون نماد پایا</t>
  </si>
  <si>
    <t>صندوق سهام زرین کوروش</t>
  </si>
  <si>
    <t>صندوق سهامی تیام</t>
  </si>
  <si>
    <t>صندوق بخشی صنایع سورنا2</t>
  </si>
  <si>
    <t>صندوق بخشی صنایع سورنا</t>
  </si>
  <si>
    <t>صندوق س زیتون نماد پایا</t>
  </si>
  <si>
    <t>صندوق س ارزش آفرین فولاد</t>
  </si>
  <si>
    <t>صندوق س.مشترک دیار</t>
  </si>
  <si>
    <t>صندوق تضمین ا.س. گیتی دماوند</t>
  </si>
  <si>
    <t>1404/01/31</t>
  </si>
  <si>
    <t>بورس کالای ایران</t>
  </si>
  <si>
    <t>سرمایه گذاری پایا تدبیرپارسا</t>
  </si>
  <si>
    <t>مرابحه عام دولت201</t>
  </si>
  <si>
    <t>بانک گردشگری شعبه آپادانا - 120333140378514</t>
  </si>
  <si>
    <t>بانک دی شعبه حافظ - 0406546474007</t>
  </si>
  <si>
    <t>صندوق صنایع دایا2</t>
  </si>
  <si>
    <t>صندوق تضمین گیتی دماوند</t>
  </si>
  <si>
    <t>برای ماه منتهی به 1404/02/31</t>
  </si>
  <si>
    <t>1404/02/31</t>
  </si>
  <si>
    <t>لیزینگ اقتصاد نوین</t>
  </si>
  <si>
    <t>ح . طلوع فولاد پارس</t>
  </si>
  <si>
    <t>سرمایه گذاری مهر</t>
  </si>
  <si>
    <t>صکوک مرابحه کگل711-3ماهه23%</t>
  </si>
  <si>
    <t>1403/11/21</t>
  </si>
  <si>
    <t>1407/11/20</t>
  </si>
  <si>
    <t>صندوق س  اهرمی نارنج - واحدهای عادی</t>
  </si>
  <si>
    <t>صندوق اهرمی کیان عادي</t>
  </si>
  <si>
    <t>بانک ملت شعبه گلشهر - 2861394292</t>
  </si>
  <si>
    <t>بانک پاسارگاد شعبه جهان کودک - 290304156920333</t>
  </si>
  <si>
    <t>بانک ملت شعبه گلشهر - 2877648012</t>
  </si>
  <si>
    <t>بانک پاسارگاد شعبه جهان کودک - 290304156920334</t>
  </si>
  <si>
    <t>سپرده کوتاه مدت بانک صادرات سیدخندان  0219726921009</t>
  </si>
  <si>
    <t>صندوق س.بخشی صنایع سورنا-ب</t>
  </si>
  <si>
    <t>صندوق س صنایع دایا2-بخشی</t>
  </si>
  <si>
    <t>صندوق س. اهرمی کاریزما-واحد عادی</t>
  </si>
  <si>
    <t>صندوق واسطه گری مالی یکم-سهام</t>
  </si>
  <si>
    <t>صندوق پالایشی یکم-سهام</t>
  </si>
  <si>
    <t>صندوق س اهرمی نارنج - واحدهای عادی صندوق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</si>
</sst>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;\(#,##0\)"/>
    <numFmt numFmtId="166" formatCode="#,##0_ ;[Red]\-#,##0\ "/>
  </numFmts>
  <fonts count="39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color theme="1"/>
      <name val="B Nazanin"/>
      <charset val="178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rgb="FF0062AC"/>
      <name val="B Titr"/>
      <charset val="178"/>
    </font>
    <font>
      <b/>
      <sz val="12"/>
      <color rgb="FF000000"/>
      <name val="Arial"/>
      <family val="2"/>
    </font>
    <font>
      <sz val="12"/>
      <color rgb="FFFF0000"/>
      <name val="B Nazanin"/>
      <charset val="178"/>
    </font>
    <font>
      <sz val="12"/>
      <color rgb="FFFF0000"/>
      <name val="Arial"/>
      <family val="2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262626"/>
      <name val="IRANSans"/>
      <family val="2"/>
    </font>
    <font>
      <b/>
      <sz val="12"/>
      <color theme="1"/>
      <name val="B Nazanin"/>
      <charset val="178"/>
    </font>
    <font>
      <sz val="16"/>
      <color rgb="FF000000"/>
      <name val="B Nazanin"/>
      <charset val="178"/>
    </font>
    <font>
      <b/>
      <sz val="16"/>
      <color rgb="FF000000"/>
      <name val="B Nazanin"/>
      <charset val="178"/>
    </font>
    <font>
      <b/>
      <sz val="10"/>
      <name val="B Nazanin"/>
      <charset val="178"/>
    </font>
    <font>
      <sz val="12"/>
      <name val="Arial"/>
      <family val="2"/>
    </font>
    <font>
      <b/>
      <sz val="9"/>
      <color theme="1"/>
      <name val="B Nazanin"/>
      <charset val="178"/>
    </font>
    <font>
      <sz val="8"/>
      <color theme="1"/>
      <name val="B Nazanin"/>
      <charset val="178"/>
    </font>
    <font>
      <b/>
      <sz val="10"/>
      <color theme="1"/>
      <name val="B Nazanin"/>
      <charset val="178"/>
    </font>
    <font>
      <sz val="10"/>
      <color theme="1"/>
      <name val="Arial"/>
      <family val="2"/>
    </font>
    <font>
      <sz val="10"/>
      <color rgb="FF000000"/>
      <name val="IRANSans"/>
      <family val="2"/>
    </font>
    <font>
      <b/>
      <sz val="14"/>
      <color theme="1"/>
      <name val="B Nazanin"/>
      <charset val="178"/>
    </font>
    <font>
      <sz val="14"/>
      <color theme="1"/>
      <name val="Arial"/>
      <family val="2"/>
    </font>
    <font>
      <b/>
      <sz val="11"/>
      <color rgb="FF262626"/>
      <name val="IRANSans"/>
      <family val="2"/>
    </font>
    <font>
      <b/>
      <sz val="10"/>
      <color rgb="FFFF0000"/>
      <name val="B Nazanin"/>
      <charset val="178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2"/>
      <color theme="0" tint="-0.34998626667073579"/>
      <name val="Arial"/>
      <family val="2"/>
    </font>
    <font>
      <sz val="11"/>
      <color theme="0" tint="-0.34998626667073579"/>
      <name val="IRANSans"/>
      <family val="2"/>
    </font>
    <font>
      <b/>
      <sz val="12"/>
      <color rgb="FFFF0000"/>
      <name val="B Nazanin"/>
      <charset val="178"/>
    </font>
    <font>
      <sz val="10"/>
      <color rgb="FFFF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000000"/>
      </bottom>
      <diagonal/>
    </border>
  </borders>
  <cellStyleXfs count="4">
    <xf numFmtId="0" fontId="0" fillId="0" borderId="0"/>
    <xf numFmtId="0" fontId="13" fillId="0" borderId="0" applyNumberFormat="0" applyFill="0" applyBorder="0" applyAlignment="0" applyProtection="0"/>
    <xf numFmtId="0" fontId="31" fillId="0" borderId="0"/>
    <xf numFmtId="9" fontId="38" fillId="0" borderId="0" applyFont="0" applyFill="0" applyBorder="0" applyAlignment="0" applyProtection="0"/>
  </cellStyleXfs>
  <cellXfs count="408"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37" fontId="4" fillId="0" borderId="6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0" xfId="0" applyFont="1" applyAlignment="1">
      <alignment vertical="center" readingOrder="2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center"/>
    </xf>
    <xf numFmtId="3" fontId="2" fillId="0" borderId="5" xfId="0" applyNumberFormat="1" applyFont="1" applyBorder="1" applyAlignment="1">
      <alignment horizontal="center" vertical="top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left"/>
    </xf>
    <xf numFmtId="3" fontId="2" fillId="0" borderId="0" xfId="0" applyNumberFormat="1" applyFont="1" applyAlignment="1">
      <alignment horizontal="right" vertical="top"/>
    </xf>
    <xf numFmtId="0" fontId="2" fillId="0" borderId="4" xfId="0" applyFont="1" applyBorder="1" applyAlignment="1">
      <alignment horizontal="center" vertical="center" wrapText="1"/>
    </xf>
    <xf numFmtId="37" fontId="2" fillId="0" borderId="0" xfId="0" applyNumberFormat="1" applyFont="1" applyAlignment="1">
      <alignment horizontal="center" vertical="top"/>
    </xf>
    <xf numFmtId="10" fontId="7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 vertical="top"/>
    </xf>
    <xf numFmtId="37" fontId="7" fillId="0" borderId="0" xfId="0" applyNumberFormat="1" applyFont="1" applyAlignment="1">
      <alignment horizontal="center"/>
    </xf>
    <xf numFmtId="37" fontId="10" fillId="0" borderId="0" xfId="0" applyNumberFormat="1" applyFont="1" applyAlignment="1">
      <alignment horizontal="center"/>
    </xf>
    <xf numFmtId="3" fontId="0" fillId="0" borderId="0" xfId="0" applyNumberFormat="1" applyAlignment="1">
      <alignment horizontal="left"/>
    </xf>
    <xf numFmtId="37" fontId="7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right" vertical="top"/>
    </xf>
    <xf numFmtId="0" fontId="0" fillId="0" borderId="0" xfId="0"/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wrapText="1"/>
    </xf>
    <xf numFmtId="3" fontId="15" fillId="0" borderId="0" xfId="0" applyNumberFormat="1" applyFont="1" applyAlignment="1">
      <alignment wrapText="1"/>
    </xf>
    <xf numFmtId="0" fontId="3" fillId="0" borderId="0" xfId="0" applyFont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3" fontId="16" fillId="0" borderId="0" xfId="0" applyNumberFormat="1" applyFont="1" applyAlignment="1">
      <alignment horizontal="left"/>
    </xf>
    <xf numFmtId="10" fontId="8" fillId="0" borderId="0" xfId="0" applyNumberFormat="1" applyFont="1" applyAlignment="1">
      <alignment horizontal="left"/>
    </xf>
    <xf numFmtId="10" fontId="0" fillId="0" borderId="0" xfId="0" applyNumberFormat="1" applyAlignment="1">
      <alignment horizontal="left"/>
    </xf>
    <xf numFmtId="10" fontId="10" fillId="0" borderId="0" xfId="0" applyNumberFormat="1" applyFont="1" applyAlignment="1">
      <alignment horizontal="left"/>
    </xf>
    <xf numFmtId="10" fontId="3" fillId="2" borderId="0" xfId="0" applyNumberFormat="1" applyFont="1" applyFill="1" applyAlignment="1">
      <alignment horizontal="center" vertical="top"/>
    </xf>
    <xf numFmtId="0" fontId="18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3" fontId="14" fillId="0" borderId="0" xfId="0" applyNumberFormat="1" applyFont="1" applyAlignment="1">
      <alignment horizontal="center" vertical="center" wrapText="1"/>
    </xf>
    <xf numFmtId="37" fontId="11" fillId="2" borderId="0" xfId="0" applyNumberFormat="1" applyFont="1" applyFill="1" applyAlignment="1">
      <alignment horizontal="right" vertical="center"/>
    </xf>
    <xf numFmtId="0" fontId="7" fillId="2" borderId="0" xfId="0" applyFont="1" applyFill="1" applyAlignment="1">
      <alignment horizontal="left"/>
    </xf>
    <xf numFmtId="37" fontId="7" fillId="2" borderId="0" xfId="0" applyNumberFormat="1" applyFont="1" applyFill="1" applyAlignment="1">
      <alignment horizontal="right" vertical="center"/>
    </xf>
    <xf numFmtId="37" fontId="3" fillId="2" borderId="0" xfId="0" applyNumberFormat="1" applyFont="1" applyFill="1" applyAlignment="1">
      <alignment horizontal="right" vertical="center"/>
    </xf>
    <xf numFmtId="37" fontId="5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horizontal="left"/>
    </xf>
    <xf numFmtId="0" fontId="10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24" fillId="2" borderId="0" xfId="0" applyFont="1" applyFill="1" applyAlignment="1">
      <alignment vertical="center"/>
    </xf>
    <xf numFmtId="0" fontId="22" fillId="2" borderId="0" xfId="0" applyFont="1" applyFill="1" applyAlignment="1">
      <alignment vertical="center" wrapText="1" readingOrder="2"/>
    </xf>
    <xf numFmtId="0" fontId="23" fillId="2" borderId="0" xfId="0" applyFont="1" applyFill="1" applyAlignment="1">
      <alignment horizontal="center" vertical="center" wrapText="1" readingOrder="2"/>
    </xf>
    <xf numFmtId="165" fontId="24" fillId="2" borderId="0" xfId="0" applyNumberFormat="1" applyFont="1" applyFill="1" applyAlignment="1">
      <alignment vertical="center" wrapText="1" readingOrder="2"/>
    </xf>
    <xf numFmtId="165" fontId="24" fillId="2" borderId="0" xfId="0" applyNumberFormat="1" applyFont="1" applyFill="1" applyAlignment="1">
      <alignment horizontal="center" vertical="center" wrapText="1" readingOrder="2"/>
    </xf>
    <xf numFmtId="0" fontId="25" fillId="2" borderId="0" xfId="0" applyFont="1" applyFill="1" applyAlignment="1">
      <alignment horizontal="left"/>
    </xf>
    <xf numFmtId="3" fontId="3" fillId="0" borderId="2" xfId="0" applyNumberFormat="1" applyFont="1" applyBorder="1" applyAlignment="1">
      <alignment horizontal="right" vertical="top"/>
    </xf>
    <xf numFmtId="3" fontId="3" fillId="2" borderId="0" xfId="0" applyNumberFormat="1" applyFont="1" applyFill="1" applyAlignment="1">
      <alignment horizontal="right" vertical="top"/>
    </xf>
    <xf numFmtId="0" fontId="7" fillId="0" borderId="0" xfId="0" applyFont="1" applyAlignment="1">
      <alignment horizontal="right"/>
    </xf>
    <xf numFmtId="0" fontId="25" fillId="2" borderId="0" xfId="0" applyFont="1" applyFill="1"/>
    <xf numFmtId="10" fontId="27" fillId="2" borderId="0" xfId="0" applyNumberFormat="1" applyFont="1" applyFill="1" applyAlignment="1">
      <alignment vertical="center" wrapText="1" readingOrder="2"/>
    </xf>
    <xf numFmtId="10" fontId="28" fillId="2" borderId="0" xfId="0" applyNumberFormat="1" applyFont="1" applyFill="1"/>
    <xf numFmtId="10" fontId="28" fillId="2" borderId="0" xfId="0" applyNumberFormat="1" applyFont="1" applyFill="1" applyAlignment="1">
      <alignment horizontal="left"/>
    </xf>
    <xf numFmtId="3" fontId="20" fillId="2" borderId="0" xfId="0" applyNumberFormat="1" applyFont="1" applyFill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38" fontId="3" fillId="2" borderId="0" xfId="0" applyNumberFormat="1" applyFont="1" applyFill="1" applyAlignment="1">
      <alignment horizontal="center" vertical="center"/>
    </xf>
    <xf numFmtId="37" fontId="10" fillId="2" borderId="0" xfId="0" applyNumberFormat="1" applyFont="1" applyFill="1" applyAlignment="1">
      <alignment horizontal="center" vertical="center"/>
    </xf>
    <xf numFmtId="0" fontId="7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/>
    </xf>
    <xf numFmtId="10" fontId="3" fillId="2" borderId="4" xfId="0" applyNumberFormat="1" applyFont="1" applyFill="1" applyBorder="1" applyAlignment="1">
      <alignment horizontal="center" vertical="top"/>
    </xf>
    <xf numFmtId="9" fontId="2" fillId="2" borderId="5" xfId="0" applyNumberFormat="1" applyFont="1" applyFill="1" applyBorder="1" applyAlignment="1">
      <alignment horizontal="center" vertical="top"/>
    </xf>
    <xf numFmtId="10" fontId="16" fillId="0" borderId="0" xfId="0" applyNumberFormat="1" applyFont="1" applyAlignment="1">
      <alignment horizontal="left"/>
    </xf>
    <xf numFmtId="0" fontId="8" fillId="2" borderId="0" xfId="0" applyFont="1" applyFill="1" applyAlignment="1">
      <alignment horizontal="left"/>
    </xf>
    <xf numFmtId="10" fontId="3" fillId="2" borderId="0" xfId="0" applyNumberFormat="1" applyFont="1" applyFill="1" applyAlignment="1">
      <alignment horizontal="center" vertical="center"/>
    </xf>
    <xf numFmtId="3" fontId="29" fillId="0" borderId="0" xfId="0" applyNumberFormat="1" applyFont="1" applyAlignment="1">
      <alignment horizontal="left"/>
    </xf>
    <xf numFmtId="3" fontId="2" fillId="2" borderId="5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right" vertical="top"/>
    </xf>
    <xf numFmtId="10" fontId="7" fillId="0" borderId="0" xfId="0" applyNumberFormat="1" applyFont="1" applyAlignment="1">
      <alignment horizontal="center" vertical="center"/>
    </xf>
    <xf numFmtId="10" fontId="10" fillId="0" borderId="0" xfId="0" applyNumberFormat="1" applyFont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3" fontId="7" fillId="2" borderId="0" xfId="0" applyNumberFormat="1" applyFont="1" applyFill="1" applyAlignment="1">
      <alignment horizontal="left"/>
    </xf>
    <xf numFmtId="3" fontId="26" fillId="0" borderId="0" xfId="0" applyNumberFormat="1" applyFont="1" applyAlignment="1">
      <alignment horizontal="left"/>
    </xf>
    <xf numFmtId="3" fontId="7" fillId="0" borderId="0" xfId="0" applyNumberFormat="1" applyFont="1" applyAlignment="1">
      <alignment horizontal="left"/>
    </xf>
    <xf numFmtId="3" fontId="2" fillId="0" borderId="10" xfId="0" applyNumberFormat="1" applyFont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10" fontId="2" fillId="2" borderId="10" xfId="0" applyNumberFormat="1" applyFont="1" applyFill="1" applyBorder="1" applyAlignment="1">
      <alignment horizontal="center" vertical="center"/>
    </xf>
    <xf numFmtId="38" fontId="2" fillId="0" borderId="10" xfId="0" applyNumberFormat="1" applyFont="1" applyBorder="1" applyAlignment="1">
      <alignment horizontal="center" vertical="center"/>
    </xf>
    <xf numFmtId="3" fontId="3" fillId="2" borderId="7" xfId="0" applyNumberFormat="1" applyFont="1" applyFill="1" applyBorder="1" applyAlignment="1">
      <alignment vertical="center" wrapText="1" readingOrder="2"/>
    </xf>
    <xf numFmtId="0" fontId="3" fillId="2" borderId="0" xfId="0" applyFont="1" applyFill="1" applyAlignment="1">
      <alignment vertical="center"/>
    </xf>
    <xf numFmtId="3" fontId="3" fillId="2" borderId="0" xfId="0" applyNumberFormat="1" applyFont="1" applyFill="1" applyAlignment="1">
      <alignment vertical="center" wrapText="1" readingOrder="2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9" fontId="3" fillId="2" borderId="0" xfId="0" applyNumberFormat="1" applyFont="1" applyFill="1" applyAlignment="1">
      <alignment horizontal="center" vertical="center" wrapText="1" readingOrder="2"/>
    </xf>
    <xf numFmtId="164" fontId="3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 wrapText="1" readingOrder="2"/>
    </xf>
    <xf numFmtId="3" fontId="3" fillId="2" borderId="2" xfId="0" applyNumberFormat="1" applyFont="1" applyFill="1" applyBorder="1" applyAlignment="1">
      <alignment horizontal="center" vertical="top"/>
    </xf>
    <xf numFmtId="3" fontId="3" fillId="2" borderId="0" xfId="0" applyNumberFormat="1" applyFont="1" applyFill="1" applyAlignment="1">
      <alignment horizontal="center" vertical="top"/>
    </xf>
    <xf numFmtId="3" fontId="2" fillId="2" borderId="5" xfId="0" applyNumberFormat="1" applyFont="1" applyFill="1" applyBorder="1" applyAlignment="1">
      <alignment horizontal="center" vertical="top"/>
    </xf>
    <xf numFmtId="3" fontId="6" fillId="2" borderId="2" xfId="0" applyNumberFormat="1" applyFont="1" applyFill="1" applyBorder="1" applyAlignment="1">
      <alignment horizontal="center" vertical="top"/>
    </xf>
    <xf numFmtId="3" fontId="5" fillId="2" borderId="0" xfId="0" applyNumberFormat="1" applyFont="1" applyFill="1" applyAlignment="1">
      <alignment horizontal="center" vertical="top"/>
    </xf>
    <xf numFmtId="0" fontId="21" fillId="2" borderId="0" xfId="0" applyFont="1" applyFill="1" applyAlignment="1">
      <alignment horizontal="center"/>
    </xf>
    <xf numFmtId="3" fontId="8" fillId="0" borderId="0" xfId="0" applyNumberFormat="1" applyFont="1" applyAlignment="1">
      <alignment horizontal="left"/>
    </xf>
    <xf numFmtId="3" fontId="10" fillId="0" borderId="0" xfId="0" applyNumberFormat="1" applyFont="1" applyAlignment="1">
      <alignment horizontal="left"/>
    </xf>
    <xf numFmtId="0" fontId="7" fillId="2" borderId="6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 vertical="top"/>
    </xf>
    <xf numFmtId="9" fontId="3" fillId="2" borderId="2" xfId="0" applyNumberFormat="1" applyFont="1" applyFill="1" applyBorder="1" applyAlignment="1">
      <alignment horizontal="center" vertical="top"/>
    </xf>
    <xf numFmtId="9" fontId="7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 vertical="top"/>
    </xf>
    <xf numFmtId="9" fontId="3" fillId="2" borderId="0" xfId="0" applyNumberFormat="1" applyFont="1" applyFill="1" applyAlignment="1">
      <alignment horizontal="center" vertical="top"/>
    </xf>
    <xf numFmtId="164" fontId="3" fillId="2" borderId="0" xfId="0" applyNumberFormat="1" applyFont="1" applyFill="1" applyAlignment="1">
      <alignment horizontal="center" vertical="top"/>
    </xf>
    <xf numFmtId="164" fontId="7" fillId="2" borderId="0" xfId="0" applyNumberFormat="1" applyFont="1" applyFill="1" applyAlignment="1">
      <alignment horizontal="center"/>
    </xf>
    <xf numFmtId="0" fontId="24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 wrapText="1" readingOrder="2"/>
    </xf>
    <xf numFmtId="165" fontId="30" fillId="2" borderId="0" xfId="0" applyNumberFormat="1" applyFont="1" applyFill="1" applyAlignment="1">
      <alignment horizontal="center" vertical="center" wrapText="1" readingOrder="2"/>
    </xf>
    <xf numFmtId="0" fontId="25" fillId="2" borderId="0" xfId="0" applyFont="1" applyFill="1" applyAlignment="1">
      <alignment horizontal="center"/>
    </xf>
    <xf numFmtId="37" fontId="7" fillId="2" borderId="0" xfId="0" applyNumberFormat="1" applyFont="1" applyFill="1" applyAlignment="1">
      <alignment horizontal="left"/>
    </xf>
    <xf numFmtId="0" fontId="0" fillId="2" borderId="0" xfId="0" applyFill="1" applyAlignment="1">
      <alignment wrapText="1"/>
    </xf>
    <xf numFmtId="0" fontId="0" fillId="2" borderId="0" xfId="0" applyFill="1"/>
    <xf numFmtId="0" fontId="15" fillId="2" borderId="0" xfId="0" applyFont="1" applyFill="1" applyAlignment="1">
      <alignment wrapText="1"/>
    </xf>
    <xf numFmtId="0" fontId="13" fillId="2" borderId="0" xfId="1" applyFill="1" applyAlignment="1">
      <alignment wrapText="1"/>
    </xf>
    <xf numFmtId="3" fontId="15" fillId="2" borderId="0" xfId="0" applyNumberFormat="1" applyFont="1" applyFill="1" applyAlignment="1">
      <alignment wrapText="1"/>
    </xf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3" fontId="2" fillId="0" borderId="0" xfId="0" applyNumberFormat="1" applyFont="1" applyAlignment="1">
      <alignment vertical="center"/>
    </xf>
    <xf numFmtId="3" fontId="3" fillId="2" borderId="0" xfId="0" applyNumberFormat="1" applyFont="1" applyFill="1" applyAlignment="1">
      <alignment horizontal="right" vertical="center"/>
    </xf>
    <xf numFmtId="10" fontId="7" fillId="2" borderId="0" xfId="0" applyNumberFormat="1" applyFont="1" applyFill="1" applyAlignment="1">
      <alignment horizontal="right" vertical="center"/>
    </xf>
    <xf numFmtId="10" fontId="0" fillId="2" borderId="0" xfId="0" applyNumberFormat="1" applyFill="1" applyAlignment="1">
      <alignment horizontal="left"/>
    </xf>
    <xf numFmtId="10" fontId="22" fillId="2" borderId="0" xfId="0" applyNumberFormat="1" applyFont="1" applyFill="1" applyAlignment="1">
      <alignment vertical="center" wrapText="1" readingOrder="2"/>
    </xf>
    <xf numFmtId="10" fontId="24" fillId="2" borderId="0" xfId="0" applyNumberFormat="1" applyFont="1" applyFill="1" applyAlignment="1">
      <alignment horizontal="center" vertical="center" wrapText="1" readingOrder="2"/>
    </xf>
    <xf numFmtId="10" fontId="25" fillId="2" borderId="0" xfId="0" applyNumberFormat="1" applyFont="1" applyFill="1"/>
    <xf numFmtId="10" fontId="25" fillId="2" borderId="0" xfId="0" applyNumberFormat="1" applyFont="1" applyFill="1" applyAlignment="1">
      <alignment horizontal="left"/>
    </xf>
    <xf numFmtId="3" fontId="22" fillId="2" borderId="0" xfId="0" applyNumberFormat="1" applyFont="1" applyFill="1" applyAlignment="1">
      <alignment vertical="center" wrapText="1" readingOrder="2"/>
    </xf>
    <xf numFmtId="3" fontId="24" fillId="2" borderId="0" xfId="0" applyNumberFormat="1" applyFont="1" applyFill="1" applyAlignment="1">
      <alignment vertical="center" wrapText="1" readingOrder="2"/>
    </xf>
    <xf numFmtId="3" fontId="20" fillId="2" borderId="0" xfId="0" applyNumberFormat="1" applyFont="1" applyFill="1" applyAlignment="1">
      <alignment horizontal="center" vertical="center" wrapText="1" readingOrder="2"/>
    </xf>
    <xf numFmtId="3" fontId="25" fillId="2" borderId="0" xfId="0" applyNumberFormat="1" applyFont="1" applyFill="1"/>
    <xf numFmtId="3" fontId="25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3" fontId="6" fillId="2" borderId="0" xfId="0" applyNumberFormat="1" applyFont="1" applyFill="1" applyAlignment="1">
      <alignment horizontal="center" vertical="top"/>
    </xf>
    <xf numFmtId="4" fontId="3" fillId="0" borderId="5" xfId="0" applyNumberFormat="1" applyFont="1" applyBorder="1" applyAlignment="1">
      <alignment horizontal="right" vertical="top"/>
    </xf>
    <xf numFmtId="164" fontId="7" fillId="0" borderId="2" xfId="0" applyNumberFormat="1" applyFont="1" applyBorder="1" applyAlignment="1">
      <alignment horizontal="left"/>
    </xf>
    <xf numFmtId="164" fontId="2" fillId="0" borderId="1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38" fontId="3" fillId="0" borderId="0" xfId="0" applyNumberFormat="1" applyFont="1" applyAlignment="1">
      <alignment horizontal="right" vertical="center"/>
    </xf>
    <xf numFmtId="3" fontId="34" fillId="0" borderId="0" xfId="0" applyNumberFormat="1" applyFont="1" applyAlignment="1">
      <alignment horizontal="right"/>
    </xf>
    <xf numFmtId="3" fontId="34" fillId="0" borderId="0" xfId="0" applyNumberFormat="1" applyFont="1" applyAlignment="1">
      <alignment horizontal="left"/>
    </xf>
    <xf numFmtId="0" fontId="20" fillId="2" borderId="0" xfId="0" applyFont="1" applyFill="1" applyAlignment="1">
      <alignment horizontal="left" vertical="top"/>
    </xf>
    <xf numFmtId="10" fontId="2" fillId="0" borderId="5" xfId="0" applyNumberFormat="1" applyFont="1" applyBorder="1" applyAlignment="1">
      <alignment horizontal="center" vertical="top"/>
    </xf>
    <xf numFmtId="0" fontId="2" fillId="2" borderId="0" xfId="0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top"/>
    </xf>
    <xf numFmtId="3" fontId="6" fillId="2" borderId="7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3" fontId="3" fillId="0" borderId="0" xfId="0" applyNumberFormat="1" applyFont="1" applyAlignment="1">
      <alignment vertical="top"/>
    </xf>
    <xf numFmtId="10" fontId="3" fillId="0" borderId="0" xfId="0" applyNumberFormat="1" applyFont="1" applyAlignment="1">
      <alignment horizontal="right" vertical="top"/>
    </xf>
    <xf numFmtId="10" fontId="3" fillId="0" borderId="7" xfId="0" applyNumberFormat="1" applyFont="1" applyBorder="1" applyAlignment="1">
      <alignment horizontal="right" vertical="top"/>
    </xf>
    <xf numFmtId="0" fontId="0" fillId="0" borderId="7" xfId="0" applyBorder="1" applyAlignment="1">
      <alignment horizontal="left"/>
    </xf>
    <xf numFmtId="3" fontId="2" fillId="0" borderId="10" xfId="0" applyNumberFormat="1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3" fontId="3" fillId="0" borderId="2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7" fillId="0" borderId="0" xfId="0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10" fontId="3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164" fontId="3" fillId="0" borderId="0" xfId="0" applyNumberFormat="1" applyFont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10" fontId="2" fillId="0" borderId="9" xfId="0" applyNumberFormat="1" applyFont="1" applyBorder="1" applyAlignment="1">
      <alignment horizontal="center" vertical="center"/>
    </xf>
    <xf numFmtId="10" fontId="10" fillId="0" borderId="0" xfId="0" applyNumberFormat="1" applyFont="1" applyAlignment="1">
      <alignment horizontal="left" vertical="center"/>
    </xf>
    <xf numFmtId="3" fontId="10" fillId="0" borderId="0" xfId="0" applyNumberFormat="1" applyFont="1" applyAlignment="1">
      <alignment horizontal="left" vertical="center"/>
    </xf>
    <xf numFmtId="10" fontId="2" fillId="0" borderId="1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3" fontId="2" fillId="0" borderId="5" xfId="0" applyNumberFormat="1" applyFont="1" applyBorder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36" fillId="0" borderId="0" xfId="0" applyFont="1" applyAlignment="1">
      <alignment horizontal="left"/>
    </xf>
    <xf numFmtId="0" fontId="4" fillId="0" borderId="3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right" vertical="center"/>
    </xf>
    <xf numFmtId="0" fontId="37" fillId="0" borderId="0" xfId="0" applyFont="1" applyAlignment="1">
      <alignment horizontal="left" vertical="center"/>
    </xf>
    <xf numFmtId="3" fontId="5" fillId="0" borderId="0" xfId="0" applyNumberFormat="1" applyFont="1" applyAlignment="1">
      <alignment horizontal="right" vertical="center"/>
    </xf>
    <xf numFmtId="0" fontId="32" fillId="0" borderId="0" xfId="0" applyFont="1" applyAlignment="1">
      <alignment horizontal="center" vertical="center"/>
    </xf>
    <xf numFmtId="38" fontId="2" fillId="0" borderId="5" xfId="0" applyNumberFormat="1" applyFont="1" applyBorder="1" applyAlignment="1">
      <alignment horizontal="center" vertical="center"/>
    </xf>
    <xf numFmtId="37" fontId="7" fillId="0" borderId="0" xfId="0" applyNumberFormat="1" applyFont="1" applyAlignment="1">
      <alignment horizontal="right" vertical="center"/>
    </xf>
    <xf numFmtId="37" fontId="3" fillId="0" borderId="2" xfId="0" applyNumberFormat="1" applyFont="1" applyBorder="1" applyAlignment="1">
      <alignment horizontal="right" vertical="center"/>
    </xf>
    <xf numFmtId="37" fontId="3" fillId="0" borderId="0" xfId="0" applyNumberFormat="1" applyFont="1" applyAlignment="1">
      <alignment horizontal="right" vertical="center"/>
    </xf>
    <xf numFmtId="37" fontId="2" fillId="0" borderId="5" xfId="0" applyNumberFormat="1" applyFont="1" applyBorder="1" applyAlignment="1">
      <alignment horizontal="center" vertical="center"/>
    </xf>
    <xf numFmtId="37" fontId="10" fillId="0" borderId="0" xfId="0" applyNumberFormat="1" applyFont="1" applyAlignment="1">
      <alignment horizontal="center" vertical="center"/>
    </xf>
    <xf numFmtId="37" fontId="2" fillId="0" borderId="5" xfId="0" applyNumberFormat="1" applyFont="1" applyBorder="1" applyAlignment="1">
      <alignment vertical="center"/>
    </xf>
    <xf numFmtId="37" fontId="2" fillId="0" borderId="5" xfId="0" applyNumberFormat="1" applyFont="1" applyBorder="1" applyAlignment="1">
      <alignment horizontal="right" vertical="center"/>
    </xf>
    <xf numFmtId="0" fontId="32" fillId="0" borderId="7" xfId="0" applyFont="1" applyBorder="1" applyAlignment="1">
      <alignment vertical="center"/>
    </xf>
    <xf numFmtId="0" fontId="0" fillId="2" borderId="0" xfId="0" applyFill="1" applyAlignment="1">
      <alignment horizontal="left" vertical="center"/>
    </xf>
    <xf numFmtId="166" fontId="3" fillId="0" borderId="0" xfId="0" applyNumberFormat="1" applyFont="1" applyAlignment="1">
      <alignment horizontal="right" vertical="center"/>
    </xf>
    <xf numFmtId="166" fontId="7" fillId="0" borderId="0" xfId="0" applyNumberFormat="1" applyFont="1" applyAlignment="1">
      <alignment horizontal="left"/>
    </xf>
    <xf numFmtId="166" fontId="7" fillId="2" borderId="0" xfId="0" applyNumberFormat="1" applyFont="1" applyFill="1" applyAlignment="1">
      <alignment horizontal="left"/>
    </xf>
    <xf numFmtId="166" fontId="0" fillId="0" borderId="0" xfId="0" applyNumberFormat="1"/>
    <xf numFmtId="166" fontId="3" fillId="0" borderId="0" xfId="0" applyNumberFormat="1" applyFont="1" applyAlignment="1">
      <alignment vertical="top"/>
    </xf>
    <xf numFmtId="166" fontId="2" fillId="2" borderId="5" xfId="0" applyNumberFormat="1" applyFont="1" applyFill="1" applyBorder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166" fontId="2" fillId="0" borderId="5" xfId="0" applyNumberFormat="1" applyFont="1" applyBorder="1" applyAlignment="1">
      <alignment horizontal="center" vertical="center"/>
    </xf>
    <xf numFmtId="166" fontId="3" fillId="0" borderId="4" xfId="0" applyNumberFormat="1" applyFont="1" applyBorder="1" applyAlignment="1">
      <alignment horizontal="right" vertical="center"/>
    </xf>
    <xf numFmtId="38" fontId="11" fillId="0" borderId="0" xfId="0" applyNumberFormat="1" applyFont="1" applyAlignment="1">
      <alignment horizontal="right" vertical="center"/>
    </xf>
    <xf numFmtId="166" fontId="7" fillId="2" borderId="2" xfId="0" applyNumberFormat="1" applyFont="1" applyFill="1" applyBorder="1" applyAlignment="1">
      <alignment horizontal="left"/>
    </xf>
    <xf numFmtId="166" fontId="7" fillId="0" borderId="2" xfId="0" applyNumberFormat="1" applyFont="1" applyBorder="1" applyAlignment="1">
      <alignment horizontal="left"/>
    </xf>
    <xf numFmtId="166" fontId="2" fillId="2" borderId="1" xfId="0" applyNumberFormat="1" applyFont="1" applyFill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166" fontId="0" fillId="0" borderId="0" xfId="0" applyNumberFormat="1" applyAlignment="1">
      <alignment horizontal="center"/>
    </xf>
    <xf numFmtId="166" fontId="32" fillId="0" borderId="0" xfId="0" applyNumberFormat="1" applyFont="1" applyAlignment="1">
      <alignment horizontal="center" vertical="center"/>
    </xf>
    <xf numFmtId="10" fontId="5" fillId="2" borderId="2" xfId="0" applyNumberFormat="1" applyFont="1" applyFill="1" applyBorder="1" applyAlignment="1">
      <alignment horizontal="center" vertical="top"/>
    </xf>
    <xf numFmtId="9" fontId="3" fillId="2" borderId="0" xfId="0" applyNumberFormat="1" applyFont="1" applyFill="1" applyAlignment="1">
      <alignment horizontal="center" vertical="center"/>
    </xf>
    <xf numFmtId="10" fontId="6" fillId="2" borderId="2" xfId="0" applyNumberFormat="1" applyFont="1" applyFill="1" applyBorder="1" applyAlignment="1">
      <alignment horizontal="center" vertical="top"/>
    </xf>
    <xf numFmtId="10" fontId="5" fillId="2" borderId="0" xfId="0" applyNumberFormat="1" applyFont="1" applyFill="1" applyAlignment="1">
      <alignment horizontal="center" vertical="top"/>
    </xf>
    <xf numFmtId="10" fontId="2" fillId="2" borderId="5" xfId="0" applyNumberFormat="1" applyFont="1" applyFill="1" applyBorder="1" applyAlignment="1">
      <alignment horizontal="center" vertical="top"/>
    </xf>
    <xf numFmtId="0" fontId="7" fillId="0" borderId="2" xfId="0" applyFont="1" applyBorder="1" applyAlignment="1">
      <alignment horizontal="center" vertical="center"/>
    </xf>
    <xf numFmtId="37" fontId="3" fillId="0" borderId="2" xfId="0" applyNumberFormat="1" applyFont="1" applyBorder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38" fontId="4" fillId="0" borderId="3" xfId="0" applyNumberFormat="1" applyFont="1" applyBorder="1" applyAlignment="1">
      <alignment horizontal="center" vertical="center" wrapText="1"/>
    </xf>
    <xf numFmtId="38" fontId="5" fillId="0" borderId="2" xfId="0" applyNumberFormat="1" applyFont="1" applyBorder="1" applyAlignment="1">
      <alignment horizontal="right" vertical="center"/>
    </xf>
    <xf numFmtId="38" fontId="5" fillId="0" borderId="0" xfId="0" applyNumberFormat="1" applyFont="1" applyAlignment="1">
      <alignment horizontal="right" vertical="center"/>
    </xf>
    <xf numFmtId="38" fontId="35" fillId="0" borderId="5" xfId="0" applyNumberFormat="1" applyFont="1" applyBorder="1" applyAlignment="1">
      <alignment horizontal="center" vertical="center"/>
    </xf>
    <xf numFmtId="38" fontId="36" fillId="2" borderId="0" xfId="0" applyNumberFormat="1" applyFont="1" applyFill="1" applyAlignment="1">
      <alignment horizontal="right"/>
    </xf>
    <xf numFmtId="38" fontId="2" fillId="2" borderId="3" xfId="0" applyNumberFormat="1" applyFont="1" applyFill="1" applyBorder="1" applyAlignment="1">
      <alignment horizontal="center" vertical="center" wrapText="1"/>
    </xf>
    <xf numFmtId="38" fontId="2" fillId="0" borderId="10" xfId="0" applyNumberFormat="1" applyFont="1" applyBorder="1" applyAlignment="1">
      <alignment vertical="center"/>
    </xf>
    <xf numFmtId="38" fontId="7" fillId="2" borderId="0" xfId="0" applyNumberFormat="1" applyFont="1" applyFill="1" applyAlignment="1">
      <alignment horizontal="left"/>
    </xf>
    <xf numFmtId="38" fontId="7" fillId="2" borderId="0" xfId="0" applyNumberFormat="1" applyFont="1" applyFill="1" applyAlignment="1">
      <alignment horizontal="right"/>
    </xf>
    <xf numFmtId="38" fontId="2" fillId="0" borderId="3" xfId="0" applyNumberFormat="1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right" vertical="center"/>
    </xf>
    <xf numFmtId="38" fontId="7" fillId="0" borderId="0" xfId="0" applyNumberFormat="1" applyFont="1" applyAlignment="1">
      <alignment horizontal="left"/>
    </xf>
    <xf numFmtId="38" fontId="2" fillId="2" borderId="1" xfId="0" applyNumberFormat="1" applyFont="1" applyFill="1" applyBorder="1" applyAlignment="1">
      <alignment horizontal="center" vertical="center"/>
    </xf>
    <xf numFmtId="38" fontId="3" fillId="0" borderId="0" xfId="0" applyNumberFormat="1" applyFont="1" applyAlignment="1">
      <alignment vertical="top"/>
    </xf>
    <xf numFmtId="38" fontId="2" fillId="2" borderId="5" xfId="0" applyNumberFormat="1" applyFont="1" applyFill="1" applyBorder="1" applyAlignment="1">
      <alignment horizontal="center" vertical="center"/>
    </xf>
    <xf numFmtId="38" fontId="7" fillId="2" borderId="0" xfId="0" applyNumberFormat="1" applyFont="1" applyFill="1" applyAlignment="1">
      <alignment horizontal="center" vertical="center"/>
    </xf>
    <xf numFmtId="38" fontId="4" fillId="2" borderId="5" xfId="0" applyNumberFormat="1" applyFont="1" applyFill="1" applyBorder="1" applyAlignment="1">
      <alignment horizontal="center" vertical="center"/>
    </xf>
    <xf numFmtId="38" fontId="0" fillId="0" borderId="0" xfId="0" applyNumberFormat="1"/>
    <xf numFmtId="38" fontId="10" fillId="2" borderId="0" xfId="0" applyNumberFormat="1" applyFont="1" applyFill="1" applyAlignment="1">
      <alignment horizontal="center" vertical="center"/>
    </xf>
    <xf numFmtId="38" fontId="7" fillId="2" borderId="2" xfId="0" applyNumberFormat="1" applyFont="1" applyFill="1" applyBorder="1" applyAlignment="1">
      <alignment horizontal="left" vertical="center"/>
    </xf>
    <xf numFmtId="38" fontId="2" fillId="2" borderId="4" xfId="0" applyNumberFormat="1" applyFont="1" applyFill="1" applyBorder="1" applyAlignment="1">
      <alignment horizontal="center" vertical="center"/>
    </xf>
    <xf numFmtId="38" fontId="7" fillId="2" borderId="0" xfId="0" applyNumberFormat="1" applyFont="1" applyFill="1" applyAlignment="1">
      <alignment horizontal="left" vertical="center"/>
    </xf>
    <xf numFmtId="38" fontId="2" fillId="2" borderId="3" xfId="0" applyNumberFormat="1" applyFont="1" applyFill="1" applyBorder="1" applyAlignment="1">
      <alignment horizontal="center" vertical="center"/>
    </xf>
    <xf numFmtId="38" fontId="4" fillId="2" borderId="8" xfId="0" applyNumberFormat="1" applyFont="1" applyFill="1" applyBorder="1" applyAlignment="1">
      <alignment vertical="center"/>
    </xf>
    <xf numFmtId="3" fontId="7" fillId="2" borderId="0" xfId="0" applyNumberFormat="1" applyFont="1" applyFill="1" applyAlignment="1">
      <alignment horizontal="left" vertical="center"/>
    </xf>
    <xf numFmtId="38" fontId="7" fillId="2" borderId="2" xfId="0" applyNumberFormat="1" applyFont="1" applyFill="1" applyBorder="1" applyAlignment="1">
      <alignment horizontal="left"/>
    </xf>
    <xf numFmtId="38" fontId="7" fillId="0" borderId="2" xfId="0" applyNumberFormat="1" applyFont="1" applyBorder="1" applyAlignment="1">
      <alignment horizontal="left"/>
    </xf>
    <xf numFmtId="38" fontId="2" fillId="0" borderId="3" xfId="0" applyNumberFormat="1" applyFont="1" applyBorder="1" applyAlignment="1">
      <alignment horizontal="center" vertical="center"/>
    </xf>
    <xf numFmtId="38" fontId="0" fillId="0" borderId="0" xfId="0" applyNumberFormat="1" applyAlignment="1">
      <alignment horizontal="left"/>
    </xf>
    <xf numFmtId="38" fontId="2" fillId="0" borderId="1" xfId="0" applyNumberFormat="1" applyFont="1" applyBorder="1" applyAlignment="1">
      <alignment horizontal="center" vertical="center"/>
    </xf>
    <xf numFmtId="38" fontId="32" fillId="0" borderId="0" xfId="0" applyNumberFormat="1" applyFont="1" applyAlignment="1">
      <alignment horizontal="center" vertical="center"/>
    </xf>
    <xf numFmtId="9" fontId="11" fillId="0" borderId="2" xfId="0" applyNumberFormat="1" applyFont="1" applyBorder="1" applyAlignment="1">
      <alignment horizontal="center" vertical="center"/>
    </xf>
    <xf numFmtId="3" fontId="6" fillId="2" borderId="0" xfId="0" applyNumberFormat="1" applyFont="1" applyFill="1" applyAlignment="1">
      <alignment horizontal="center" vertical="center"/>
    </xf>
    <xf numFmtId="10" fontId="7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right" vertical="top"/>
    </xf>
    <xf numFmtId="3" fontId="7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center" vertical="center"/>
    </xf>
    <xf numFmtId="0" fontId="33" fillId="0" borderId="0" xfId="0" applyFont="1" applyAlignment="1">
      <alignment horizontal="left"/>
    </xf>
    <xf numFmtId="10" fontId="2" fillId="0" borderId="5" xfId="3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3" fontId="3" fillId="2" borderId="7" xfId="0" applyNumberFormat="1" applyFont="1" applyFill="1" applyBorder="1" applyAlignment="1">
      <alignment horizontal="center" vertical="center" wrapText="1" readingOrder="2"/>
    </xf>
    <xf numFmtId="3" fontId="3" fillId="2" borderId="0" xfId="0" applyNumberFormat="1" applyFont="1" applyFill="1" applyAlignment="1">
      <alignment horizontal="center" vertical="center" wrapText="1" readingOrder="2"/>
    </xf>
    <xf numFmtId="0" fontId="7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38" fontId="3" fillId="2" borderId="0" xfId="0" applyNumberFormat="1" applyFont="1" applyFill="1" applyAlignment="1">
      <alignment horizontal="right" vertical="center"/>
    </xf>
    <xf numFmtId="3" fontId="3" fillId="2" borderId="2" xfId="0" applyNumberFormat="1" applyFont="1" applyFill="1" applyBorder="1" applyAlignment="1">
      <alignment horizontal="right" vertical="center"/>
    </xf>
    <xf numFmtId="38" fontId="3" fillId="2" borderId="2" xfId="0" applyNumberFormat="1" applyFont="1" applyFill="1" applyBorder="1" applyAlignment="1">
      <alignment horizontal="right" vertical="center"/>
    </xf>
    <xf numFmtId="3" fontId="3" fillId="2" borderId="0" xfId="0" applyNumberFormat="1" applyFont="1" applyFill="1" applyAlignment="1">
      <alignment vertical="top"/>
    </xf>
    <xf numFmtId="10" fontId="7" fillId="2" borderId="0" xfId="0" applyNumberFormat="1" applyFont="1" applyFill="1" applyAlignment="1">
      <alignment horizontal="center" vertical="center"/>
    </xf>
    <xf numFmtId="3" fontId="8" fillId="2" borderId="0" xfId="0" applyNumberFormat="1" applyFont="1" applyFill="1" applyAlignment="1">
      <alignment horizontal="left"/>
    </xf>
    <xf numFmtId="10" fontId="8" fillId="2" borderId="0" xfId="0" applyNumberFormat="1" applyFont="1" applyFill="1" applyAlignment="1">
      <alignment horizontal="center" vertical="center"/>
    </xf>
    <xf numFmtId="38" fontId="3" fillId="2" borderId="0" xfId="0" applyNumberFormat="1" applyFont="1" applyFill="1" applyAlignment="1">
      <alignment vertical="center"/>
    </xf>
    <xf numFmtId="166" fontId="3" fillId="2" borderId="0" xfId="0" applyNumberFormat="1" applyFont="1" applyFill="1" applyAlignment="1">
      <alignment vertical="center"/>
    </xf>
    <xf numFmtId="166" fontId="3" fillId="2" borderId="0" xfId="0" applyNumberFormat="1" applyFont="1" applyFill="1" applyAlignment="1">
      <alignment vertical="top"/>
    </xf>
    <xf numFmtId="4" fontId="3" fillId="2" borderId="2" xfId="0" applyNumberFormat="1" applyFont="1" applyFill="1" applyBorder="1" applyAlignment="1">
      <alignment horizontal="right" vertical="top"/>
    </xf>
    <xf numFmtId="0" fontId="3" fillId="2" borderId="0" xfId="0" applyFont="1" applyFill="1" applyAlignment="1">
      <alignment vertical="top"/>
    </xf>
    <xf numFmtId="3" fontId="3" fillId="2" borderId="0" xfId="0" applyNumberFormat="1" applyFont="1" applyFill="1" applyAlignment="1">
      <alignment vertical="center"/>
    </xf>
    <xf numFmtId="10" fontId="2" fillId="2" borderId="0" xfId="0" applyNumberFormat="1" applyFont="1" applyFill="1" applyAlignment="1">
      <alignment horizontal="center" vertical="center"/>
    </xf>
    <xf numFmtId="4" fontId="3" fillId="2" borderId="0" xfId="0" applyNumberFormat="1" applyFont="1" applyFill="1" applyAlignment="1">
      <alignment horizontal="right" vertical="top"/>
    </xf>
    <xf numFmtId="0" fontId="3" fillId="2" borderId="2" xfId="0" applyFont="1" applyFill="1" applyBorder="1" applyAlignment="1">
      <alignment vertical="center"/>
    </xf>
    <xf numFmtId="166" fontId="3" fillId="2" borderId="2" xfId="0" applyNumberFormat="1" applyFont="1" applyFill="1" applyBorder="1" applyAlignment="1">
      <alignment horizontal="right" vertical="center"/>
    </xf>
    <xf numFmtId="166" fontId="0" fillId="2" borderId="0" xfId="0" applyNumberFormat="1" applyFill="1" applyAlignment="1">
      <alignment horizontal="left" vertical="center"/>
    </xf>
    <xf numFmtId="38" fontId="0" fillId="2" borderId="0" xfId="0" applyNumberFormat="1" applyFill="1" applyAlignment="1">
      <alignment horizontal="left" vertical="center"/>
    </xf>
    <xf numFmtId="3" fontId="2" fillId="2" borderId="0" xfId="0" applyNumberFormat="1" applyFont="1" applyFill="1" applyAlignment="1">
      <alignment vertical="center"/>
    </xf>
    <xf numFmtId="10" fontId="2" fillId="2" borderId="0" xfId="0" applyNumberFormat="1" applyFont="1" applyFill="1" applyAlignment="1">
      <alignment vertical="center"/>
    </xf>
    <xf numFmtId="3" fontId="29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vertical="center"/>
    </xf>
    <xf numFmtId="166" fontId="3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10" fontId="3" fillId="2" borderId="0" xfId="3" applyNumberFormat="1" applyFont="1" applyFill="1" applyAlignment="1">
      <alignment horizontal="right" vertical="center"/>
    </xf>
    <xf numFmtId="38" fontId="11" fillId="2" borderId="0" xfId="0" applyNumberFormat="1" applyFont="1" applyFill="1" applyAlignment="1">
      <alignment horizontal="right" vertical="center"/>
    </xf>
    <xf numFmtId="3" fontId="2" fillId="0" borderId="10" xfId="0" applyNumberFormat="1" applyFont="1" applyBorder="1" applyAlignment="1">
      <alignment horizontal="right" vertical="top"/>
    </xf>
    <xf numFmtId="0" fontId="32" fillId="0" borderId="7" xfId="0" applyFont="1" applyBorder="1" applyAlignment="1">
      <alignment horizontal="left"/>
    </xf>
    <xf numFmtId="0" fontId="2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left"/>
    </xf>
    <xf numFmtId="3" fontId="2" fillId="0" borderId="8" xfId="0" applyNumberFormat="1" applyFont="1" applyBorder="1" applyAlignment="1">
      <alignment horizontal="right" vertical="center"/>
    </xf>
    <xf numFmtId="0" fontId="10" fillId="0" borderId="7" xfId="0" applyFont="1" applyBorder="1" applyAlignment="1">
      <alignment horizontal="center" vertical="center"/>
    </xf>
    <xf numFmtId="9" fontId="2" fillId="2" borderId="3" xfId="3" applyFont="1" applyFill="1" applyBorder="1" applyAlignment="1">
      <alignment horizontal="center" vertical="center" wrapText="1"/>
    </xf>
    <xf numFmtId="9" fontId="7" fillId="2" borderId="0" xfId="3" applyFont="1" applyFill="1" applyAlignment="1">
      <alignment horizontal="left"/>
    </xf>
    <xf numFmtId="10" fontId="2" fillId="2" borderId="3" xfId="3" applyNumberFormat="1" applyFont="1" applyFill="1" applyBorder="1" applyAlignment="1">
      <alignment horizontal="center" vertical="center" wrapText="1"/>
    </xf>
    <xf numFmtId="10" fontId="3" fillId="2" borderId="0" xfId="3" applyNumberFormat="1" applyFont="1" applyFill="1" applyBorder="1" applyAlignment="1">
      <alignment horizontal="right" vertical="top"/>
    </xf>
    <xf numFmtId="10" fontId="11" fillId="2" borderId="0" xfId="3" applyNumberFormat="1" applyFont="1" applyFill="1" applyAlignment="1">
      <alignment horizontal="right" vertical="top"/>
    </xf>
    <xf numFmtId="10" fontId="2" fillId="2" borderId="5" xfId="3" applyNumberFormat="1" applyFont="1" applyFill="1" applyBorder="1" applyAlignment="1">
      <alignment horizontal="center" vertical="center"/>
    </xf>
    <xf numFmtId="10" fontId="7" fillId="2" borderId="0" xfId="3" applyNumberFormat="1" applyFont="1" applyFill="1" applyAlignment="1">
      <alignment horizontal="left"/>
    </xf>
    <xf numFmtId="9" fontId="3" fillId="2" borderId="0" xfId="3" applyFont="1" applyFill="1" applyBorder="1" applyAlignment="1">
      <alignment horizontal="right" vertical="top"/>
    </xf>
    <xf numFmtId="10" fontId="3" fillId="2" borderId="0" xfId="3" applyNumberFormat="1" applyFont="1" applyFill="1" applyAlignment="1">
      <alignment horizontal="right" vertical="top"/>
    </xf>
    <xf numFmtId="9" fontId="17" fillId="2" borderId="3" xfId="3" applyFont="1" applyFill="1" applyBorder="1" applyAlignment="1">
      <alignment horizontal="center" vertical="center" wrapText="1"/>
    </xf>
    <xf numFmtId="9" fontId="3" fillId="2" borderId="2" xfId="3" applyFont="1" applyFill="1" applyBorder="1" applyAlignment="1">
      <alignment horizontal="right" vertical="center"/>
    </xf>
    <xf numFmtId="9" fontId="3" fillId="2" borderId="0" xfId="3" applyFont="1" applyFill="1" applyAlignment="1">
      <alignment horizontal="right" vertical="center"/>
    </xf>
    <xf numFmtId="9" fontId="8" fillId="2" borderId="0" xfId="3" applyFont="1" applyFill="1" applyAlignment="1">
      <alignment horizontal="left"/>
    </xf>
    <xf numFmtId="10" fontId="3" fillId="2" borderId="2" xfId="3" applyNumberFormat="1" applyFont="1" applyFill="1" applyBorder="1" applyAlignment="1">
      <alignment horizontal="right" vertical="top"/>
    </xf>
    <xf numFmtId="0" fontId="3" fillId="0" borderId="0" xfId="0" applyFont="1" applyAlignment="1">
      <alignment horizontal="right" vertical="center"/>
    </xf>
    <xf numFmtId="9" fontId="11" fillId="0" borderId="0" xfId="0" applyNumberFormat="1" applyFont="1" applyAlignment="1">
      <alignment horizontal="center" vertical="center"/>
    </xf>
    <xf numFmtId="9" fontId="3" fillId="0" borderId="0" xfId="3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164" fontId="2" fillId="0" borderId="10" xfId="0" applyNumberFormat="1" applyFont="1" applyBorder="1" applyAlignment="1">
      <alignment horizontal="right" vertical="top"/>
    </xf>
    <xf numFmtId="0" fontId="1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top"/>
    </xf>
    <xf numFmtId="0" fontId="9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3" fontId="20" fillId="2" borderId="0" xfId="0" applyNumberFormat="1" applyFont="1" applyFill="1" applyAlignment="1">
      <alignment horizontal="left" vertical="top"/>
    </xf>
    <xf numFmtId="0" fontId="20" fillId="2" borderId="0" xfId="0" applyFont="1" applyFill="1" applyAlignment="1">
      <alignment horizontal="left" vertical="top"/>
    </xf>
    <xf numFmtId="3" fontId="20" fillId="2" borderId="0" xfId="0" applyNumberFormat="1" applyFont="1" applyFill="1" applyAlignment="1">
      <alignment horizontal="center" vertical="top"/>
    </xf>
    <xf numFmtId="3" fontId="26" fillId="0" borderId="0" xfId="0" applyNumberFormat="1" applyFont="1" applyAlignment="1">
      <alignment horizontal="center"/>
    </xf>
    <xf numFmtId="0" fontId="3" fillId="0" borderId="2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 wrapText="1" readingOrder="2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right" vertical="center" wrapText="1" readingOrder="2"/>
    </xf>
    <xf numFmtId="3" fontId="3" fillId="0" borderId="2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4" fontId="3" fillId="0" borderId="2" xfId="0" applyNumberFormat="1" applyFont="1" applyBorder="1" applyAlignment="1">
      <alignment horizontal="center" vertical="top"/>
    </xf>
    <xf numFmtId="0" fontId="17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 wrapText="1"/>
    </xf>
    <xf numFmtId="3" fontId="3" fillId="0" borderId="0" xfId="0" applyNumberFormat="1" applyFont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3" fillId="0" borderId="7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right" vertical="top"/>
    </xf>
    <xf numFmtId="0" fontId="3" fillId="0" borderId="2" xfId="0" applyFont="1" applyBorder="1" applyAlignment="1">
      <alignment horizontal="right" vertical="top"/>
    </xf>
    <xf numFmtId="37" fontId="11" fillId="2" borderId="0" xfId="0" applyNumberFormat="1" applyFont="1" applyFill="1" applyAlignment="1">
      <alignment horizontal="right" vertical="center"/>
    </xf>
    <xf numFmtId="37" fontId="5" fillId="2" borderId="0" xfId="0" applyNumberFormat="1" applyFont="1" applyFill="1" applyAlignment="1">
      <alignment horizontal="right" vertical="center"/>
    </xf>
    <xf numFmtId="3" fontId="3" fillId="2" borderId="0" xfId="0" applyNumberFormat="1" applyFont="1" applyFill="1" applyAlignment="1">
      <alignment horizontal="right" vertical="top"/>
    </xf>
    <xf numFmtId="37" fontId="3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166" fontId="2" fillId="2" borderId="4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right" vertical="center" readingOrder="2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8" fontId="2" fillId="2" borderId="2" xfId="0" applyNumberFormat="1" applyFont="1" applyFill="1" applyBorder="1" applyAlignment="1">
      <alignment horizontal="center" vertical="center"/>
    </xf>
    <xf numFmtId="38" fontId="2" fillId="2" borderId="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2" fillId="0" borderId="7" xfId="0" applyFont="1" applyBorder="1" applyAlignment="1">
      <alignment horizontal="center" vertical="center"/>
    </xf>
    <xf numFmtId="0" fontId="0" fillId="2" borderId="0" xfId="0" applyFill="1" applyAlignment="1">
      <alignment wrapText="1"/>
    </xf>
    <xf numFmtId="0" fontId="14" fillId="2" borderId="0" xfId="0" applyFont="1" applyFill="1" applyAlignment="1">
      <alignment wrapText="1"/>
    </xf>
    <xf numFmtId="0" fontId="2" fillId="2" borderId="3" xfId="0" applyFont="1" applyFill="1" applyBorder="1" applyAlignment="1">
      <alignment horizontal="center" vertical="center" wrapText="1"/>
    </xf>
    <xf numFmtId="38" fontId="2" fillId="0" borderId="12" xfId="0" applyNumberFormat="1" applyFont="1" applyBorder="1" applyAlignment="1">
      <alignment horizontal="center" vertical="center"/>
    </xf>
    <xf numFmtId="38" fontId="0" fillId="2" borderId="0" xfId="0" applyNumberFormat="1" applyFill="1" applyBorder="1" applyAlignment="1">
      <alignment horizontal="left" vertical="center"/>
    </xf>
    <xf numFmtId="3" fontId="2" fillId="0" borderId="12" xfId="0" applyNumberFormat="1" applyFont="1" applyBorder="1" applyAlignment="1">
      <alignment horizontal="center" vertical="center"/>
    </xf>
    <xf numFmtId="3" fontId="3" fillId="2" borderId="0" xfId="0" applyNumberFormat="1" applyFont="1" applyFill="1" applyBorder="1" applyAlignment="1">
      <alignment horizontal="right" vertical="center"/>
    </xf>
    <xf numFmtId="164" fontId="3" fillId="2" borderId="0" xfId="3" applyNumberFormat="1" applyFont="1" applyFill="1" applyBorder="1" applyAlignment="1">
      <alignment horizontal="right" vertical="top"/>
    </xf>
    <xf numFmtId="10" fontId="11" fillId="2" borderId="0" xfId="3" applyNumberFormat="1" applyFont="1" applyFill="1" applyBorder="1" applyAlignment="1">
      <alignment horizontal="right" vertical="top"/>
    </xf>
    <xf numFmtId="9" fontId="3" fillId="2" borderId="0" xfId="3" applyNumberFormat="1" applyFont="1" applyFill="1" applyBorder="1" applyAlignment="1">
      <alignment horizontal="right" vertical="top"/>
    </xf>
    <xf numFmtId="9" fontId="3" fillId="2" borderId="0" xfId="3" applyNumberFormat="1" applyFont="1" applyFill="1" applyAlignment="1">
      <alignment horizontal="right" vertical="center"/>
    </xf>
  </cellXfs>
  <cellStyles count="4">
    <cellStyle name="Hyperlink" xfId="1" builtinId="8"/>
    <cellStyle name="Normal" xfId="0" builtinId="0"/>
    <cellStyle name="Normal 2" xfId="2" xr:uid="{00000000-0005-0000-0000-000002000000}"/>
    <cellStyle name="Percent" xfId="3" builtinId="5"/>
  </cellStyles>
  <dxfs count="0"/>
  <tableStyles count="0" defaultTableStyle="TableStyleMedium9" defaultPivotStyle="PivotStyleLight16"/>
  <colors>
    <mruColors>
      <color rgb="FF31869B"/>
      <color rgb="FF0065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</sheetPr>
  <dimension ref="A11:C23"/>
  <sheetViews>
    <sheetView rightToLeft="1" tabSelected="1" view="pageBreakPreview" zoomScaleNormal="100" zoomScaleSheetLayoutView="100" workbookViewId="0">
      <selection activeCell="D1" sqref="D1"/>
    </sheetView>
  </sheetViews>
  <sheetFormatPr defaultRowHeight="12.75"/>
  <cols>
    <col min="1" max="1" width="21" customWidth="1"/>
    <col min="2" max="2" width="38" customWidth="1"/>
    <col min="3" max="3" width="36.5703125" customWidth="1"/>
  </cols>
  <sheetData>
    <row r="11" spans="1:3" ht="29.1" customHeight="1">
      <c r="A11" s="340"/>
      <c r="B11" s="340"/>
      <c r="C11" s="340"/>
    </row>
    <row r="12" spans="1:3" ht="21.75" customHeight="1">
      <c r="A12" s="340"/>
      <c r="B12" s="340"/>
      <c r="C12" s="340"/>
    </row>
    <row r="13" spans="1:3" ht="21.75" customHeight="1">
      <c r="A13" s="340"/>
      <c r="B13" s="340"/>
      <c r="C13" s="340"/>
    </row>
    <row r="14" spans="1:3" ht="28.5" customHeight="1"/>
    <row r="15" spans="1:3" ht="24.75">
      <c r="A15" s="48"/>
      <c r="B15" s="341"/>
      <c r="C15" s="48"/>
    </row>
    <row r="16" spans="1:3" ht="24.75">
      <c r="A16" s="48"/>
      <c r="B16" s="341"/>
      <c r="C16" s="48"/>
    </row>
    <row r="17" spans="1:3" ht="26.25">
      <c r="A17" s="339" t="s">
        <v>0</v>
      </c>
      <c r="B17" s="339"/>
      <c r="C17" s="339"/>
    </row>
    <row r="18" spans="1:3" ht="26.25">
      <c r="A18" s="339" t="s">
        <v>1</v>
      </c>
      <c r="B18" s="339"/>
      <c r="C18" s="339"/>
    </row>
    <row r="19" spans="1:3" ht="26.25">
      <c r="A19" s="339" t="s">
        <v>283</v>
      </c>
      <c r="B19" s="339"/>
      <c r="C19" s="339"/>
    </row>
    <row r="20" spans="1:3" ht="24.75">
      <c r="A20" s="48"/>
      <c r="B20" s="48"/>
      <c r="C20" s="48"/>
    </row>
    <row r="21" spans="1:3" ht="24.75">
      <c r="A21" s="48"/>
      <c r="B21" s="48"/>
      <c r="C21" s="48"/>
    </row>
    <row r="22" spans="1:3" ht="24.75">
      <c r="A22" s="48"/>
      <c r="B22" s="48"/>
      <c r="C22" s="48"/>
    </row>
    <row r="23" spans="1:3" ht="24.75">
      <c r="A23" s="48"/>
      <c r="B23" s="48"/>
      <c r="C23" s="48"/>
    </row>
  </sheetData>
  <mergeCells count="7">
    <mergeCell ref="A18:C18"/>
    <mergeCell ref="A19:C19"/>
    <mergeCell ref="A11:C11"/>
    <mergeCell ref="A12:C12"/>
    <mergeCell ref="A13:C13"/>
    <mergeCell ref="B15:B16"/>
    <mergeCell ref="A17:C17"/>
  </mergeCells>
  <pageMargins left="0.39" right="0.39" top="0.39" bottom="0.39" header="0" footer="0"/>
  <pageSetup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31869B"/>
    <pageSetUpPr fitToPage="1"/>
  </sheetPr>
  <dimension ref="A1:AL30"/>
  <sheetViews>
    <sheetView rightToLeft="1" view="pageBreakPreview" zoomScale="93" zoomScaleNormal="100" zoomScaleSheetLayoutView="93" workbookViewId="0">
      <selection activeCell="W1" sqref="W1"/>
    </sheetView>
  </sheetViews>
  <sheetFormatPr defaultRowHeight="30" customHeight="1"/>
  <cols>
    <col min="1" max="1" width="26.7109375" style="12" bestFit="1" customWidth="1"/>
    <col min="2" max="2" width="0.7109375" style="12" customWidth="1"/>
    <col min="3" max="3" width="15.7109375" style="216" bestFit="1" customWidth="1"/>
    <col min="4" max="4" width="1.28515625" style="216" customWidth="1"/>
    <col min="5" max="5" width="16.5703125" style="251" bestFit="1" customWidth="1"/>
    <col min="6" max="6" width="1.28515625" style="251" customWidth="1"/>
    <col min="7" max="7" width="15.140625" style="247" bestFit="1" customWidth="1"/>
    <col min="8" max="8" width="1.28515625" style="251" customWidth="1"/>
    <col min="9" max="9" width="16.5703125" style="251" bestFit="1" customWidth="1"/>
    <col min="10" max="10" width="1.28515625" style="12" customWidth="1"/>
    <col min="11" max="11" width="11.85546875" style="330" customWidth="1"/>
    <col min="12" max="12" width="1.28515625" style="12" customWidth="1"/>
    <col min="13" max="13" width="17" style="217" customWidth="1"/>
    <col min="14" max="14" width="1.28515625" style="217" customWidth="1"/>
    <col min="15" max="15" width="17.28515625" style="247" bestFit="1" customWidth="1"/>
    <col min="16" max="16" width="0.85546875" style="247" customWidth="1"/>
    <col min="17" max="17" width="19.140625" style="247" bestFit="1" customWidth="1"/>
    <col min="18" max="18" width="1.140625" style="251" customWidth="1"/>
    <col min="19" max="19" width="19.140625" style="251" bestFit="1" customWidth="1"/>
    <col min="20" max="20" width="1.28515625" style="12" customWidth="1"/>
    <col min="21" max="21" width="13.42578125" style="330" customWidth="1"/>
    <col min="22" max="22" width="0.28515625" style="12" customWidth="1"/>
    <col min="23" max="23" width="23.5703125" style="99" customWidth="1"/>
    <col min="24" max="24" width="9.140625" style="30" customWidth="1"/>
    <col min="25" max="25" width="18.7109375" style="12" bestFit="1" customWidth="1"/>
    <col min="26" max="26" width="9.140625" style="12" customWidth="1"/>
    <col min="27" max="27" width="16.85546875" style="12" bestFit="1" customWidth="1"/>
    <col min="28" max="28" width="9.140625" style="12" customWidth="1"/>
    <col min="29" max="29" width="26.28515625" style="12" bestFit="1" customWidth="1"/>
    <col min="30" max="16384" width="9.140625" style="12"/>
  </cols>
  <sheetData>
    <row r="1" spans="1:38" ht="30" customHeight="1">
      <c r="A1" s="343" t="s">
        <v>0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3"/>
    </row>
    <row r="2" spans="1:38" ht="30" customHeight="1">
      <c r="A2" s="343" t="s">
        <v>88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</row>
    <row r="3" spans="1:38" ht="30" customHeight="1">
      <c r="A3" s="343" t="s">
        <v>283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343"/>
      <c r="S3" s="343"/>
      <c r="T3" s="343"/>
      <c r="U3" s="343"/>
    </row>
    <row r="4" spans="1:38" s="13" customFormat="1" ht="30" customHeight="1">
      <c r="A4" s="342" t="s">
        <v>157</v>
      </c>
      <c r="B4" s="342"/>
      <c r="C4" s="342"/>
      <c r="D4" s="342"/>
      <c r="E4" s="342"/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342"/>
      <c r="S4" s="342"/>
      <c r="T4" s="342"/>
      <c r="U4" s="342"/>
      <c r="W4" s="118"/>
      <c r="X4" s="44"/>
    </row>
    <row r="5" spans="1:38" ht="30" customHeight="1">
      <c r="C5" s="344" t="s">
        <v>99</v>
      </c>
      <c r="D5" s="344"/>
      <c r="E5" s="344"/>
      <c r="F5" s="344"/>
      <c r="G5" s="344"/>
      <c r="H5" s="344"/>
      <c r="I5" s="344"/>
      <c r="J5" s="344"/>
      <c r="K5" s="344"/>
      <c r="M5" s="344" t="s">
        <v>143</v>
      </c>
      <c r="N5" s="344"/>
      <c r="O5" s="344"/>
      <c r="P5" s="364"/>
      <c r="Q5" s="344"/>
      <c r="R5" s="344"/>
      <c r="S5" s="344"/>
      <c r="T5" s="344"/>
      <c r="U5" s="344"/>
    </row>
    <row r="6" spans="1:38" ht="27" customHeight="1">
      <c r="C6" s="227"/>
      <c r="D6" s="227"/>
      <c r="E6" s="266"/>
      <c r="F6" s="266"/>
      <c r="G6" s="265"/>
      <c r="H6" s="266"/>
      <c r="I6" s="345" t="s">
        <v>12</v>
      </c>
      <c r="J6" s="345"/>
      <c r="K6" s="345"/>
      <c r="M6" s="226"/>
      <c r="N6" s="226"/>
      <c r="O6" s="265"/>
      <c r="P6" s="265"/>
      <c r="Q6" s="265"/>
      <c r="R6" s="266"/>
      <c r="S6" s="345" t="s">
        <v>12</v>
      </c>
      <c r="T6" s="345"/>
      <c r="U6" s="345"/>
    </row>
    <row r="7" spans="1:38" ht="38.25" customHeight="1">
      <c r="A7" s="1" t="s">
        <v>100</v>
      </c>
      <c r="C7" s="229" t="s">
        <v>101</v>
      </c>
      <c r="E7" s="269" t="s">
        <v>102</v>
      </c>
      <c r="G7" s="252" t="s">
        <v>103</v>
      </c>
      <c r="I7" s="267" t="s">
        <v>74</v>
      </c>
      <c r="J7" s="26"/>
      <c r="K7" s="327" t="s">
        <v>91</v>
      </c>
      <c r="M7" s="228" t="s">
        <v>101</v>
      </c>
      <c r="N7" s="389" t="s">
        <v>102</v>
      </c>
      <c r="O7" s="389"/>
      <c r="P7" s="260"/>
      <c r="Q7" s="252" t="s">
        <v>103</v>
      </c>
      <c r="S7" s="267" t="s">
        <v>74</v>
      </c>
      <c r="T7" s="26"/>
      <c r="U7" s="327" t="s">
        <v>91</v>
      </c>
    </row>
    <row r="8" spans="1:38" s="54" customFormat="1" ht="30" customHeight="1">
      <c r="A8" s="300" t="s">
        <v>226</v>
      </c>
      <c r="B8" s="58"/>
      <c r="C8" s="143">
        <v>0</v>
      </c>
      <c r="D8" s="302"/>
      <c r="E8" s="143">
        <v>0</v>
      </c>
      <c r="F8" s="303"/>
      <c r="G8" s="143">
        <v>0</v>
      </c>
      <c r="H8" s="303"/>
      <c r="I8" s="143">
        <f>C8+E8+G8</f>
        <v>0</v>
      </c>
      <c r="J8" s="214"/>
      <c r="K8" s="328">
        <v>0</v>
      </c>
      <c r="L8" s="214"/>
      <c r="M8" s="301">
        <v>0</v>
      </c>
      <c r="N8" s="302"/>
      <c r="O8" s="287">
        <v>0</v>
      </c>
      <c r="P8" s="303"/>
      <c r="Q8" s="143">
        <v>180452</v>
      </c>
      <c r="R8" s="303"/>
      <c r="S8" s="143">
        <f t="shared" ref="S8:S23" si="0">M8+O8+Q8</f>
        <v>180452</v>
      </c>
      <c r="T8" s="286"/>
      <c r="U8" s="328">
        <f>S8/درآمد!F11</f>
        <v>7.3355677192682922E-7</v>
      </c>
      <c r="V8" s="295">
        <v>0</v>
      </c>
      <c r="W8" s="304"/>
      <c r="X8" s="305"/>
      <c r="Y8" s="306"/>
      <c r="Z8" s="307"/>
      <c r="AA8" s="307"/>
      <c r="AB8" s="307"/>
      <c r="AC8" s="307"/>
      <c r="AE8" s="387"/>
      <c r="AF8" s="387"/>
      <c r="AG8" s="387"/>
      <c r="AH8" s="387"/>
      <c r="AI8" s="387"/>
      <c r="AJ8" s="387"/>
      <c r="AK8" s="387"/>
      <c r="AL8" s="387"/>
    </row>
    <row r="9" spans="1:38" s="54" customFormat="1" ht="30" customHeight="1">
      <c r="A9" s="105" t="s">
        <v>227</v>
      </c>
      <c r="B9" s="58"/>
      <c r="C9" s="143">
        <v>0</v>
      </c>
      <c r="D9" s="302"/>
      <c r="E9" s="143">
        <v>0</v>
      </c>
      <c r="F9" s="303"/>
      <c r="G9" s="143">
        <v>0</v>
      </c>
      <c r="H9" s="303"/>
      <c r="I9" s="143">
        <f t="shared" ref="I9:I23" si="1">C9+E9+G9</f>
        <v>0</v>
      </c>
      <c r="J9" s="214"/>
      <c r="K9" s="329">
        <v>0</v>
      </c>
      <c r="L9" s="214"/>
      <c r="M9" s="308">
        <v>0</v>
      </c>
      <c r="N9" s="302"/>
      <c r="O9" s="285">
        <v>0</v>
      </c>
      <c r="P9" s="303"/>
      <c r="Q9" s="143">
        <v>141580</v>
      </c>
      <c r="R9" s="303"/>
      <c r="S9" s="143">
        <f t="shared" si="0"/>
        <v>141580</v>
      </c>
      <c r="T9" s="143"/>
      <c r="U9" s="329">
        <v>3.569988695775985E-7</v>
      </c>
      <c r="V9" s="299">
        <v>0</v>
      </c>
      <c r="W9" s="304"/>
      <c r="X9" s="305"/>
      <c r="Y9" s="306"/>
      <c r="AA9" s="309"/>
      <c r="AC9" s="309"/>
      <c r="AE9" s="309"/>
      <c r="AG9" s="309"/>
      <c r="AI9" s="309"/>
      <c r="AK9" s="388"/>
      <c r="AL9" s="388"/>
    </row>
    <row r="10" spans="1:38" s="54" customFormat="1" ht="30" customHeight="1">
      <c r="A10" s="105" t="s">
        <v>196</v>
      </c>
      <c r="B10" s="58"/>
      <c r="C10" s="143">
        <v>0</v>
      </c>
      <c r="D10" s="302"/>
      <c r="E10" s="143">
        <v>0</v>
      </c>
      <c r="F10" s="303"/>
      <c r="G10" s="143">
        <v>0</v>
      </c>
      <c r="H10" s="303"/>
      <c r="I10" s="143">
        <f t="shared" si="1"/>
        <v>0</v>
      </c>
      <c r="J10" s="214"/>
      <c r="K10" s="329">
        <v>0</v>
      </c>
      <c r="L10" s="214"/>
      <c r="M10" s="308">
        <v>0</v>
      </c>
      <c r="N10" s="302"/>
      <c r="O10" s="285">
        <v>0</v>
      </c>
      <c r="P10" s="303"/>
      <c r="Q10" s="143">
        <v>700811</v>
      </c>
      <c r="R10" s="303"/>
      <c r="S10" s="143">
        <f t="shared" si="0"/>
        <v>700811</v>
      </c>
      <c r="T10" s="143"/>
      <c r="U10" s="329">
        <v>1.7671191890630483E-6</v>
      </c>
      <c r="V10" s="299">
        <v>0</v>
      </c>
      <c r="W10" s="304"/>
      <c r="X10" s="305"/>
      <c r="Y10" s="306"/>
      <c r="Z10" s="55"/>
      <c r="AA10" s="56"/>
      <c r="AB10" s="55"/>
      <c r="AC10" s="53"/>
      <c r="AD10" s="55"/>
      <c r="AE10" s="56"/>
      <c r="AF10" s="55"/>
      <c r="AG10" s="56"/>
      <c r="AH10" s="55"/>
      <c r="AI10" s="56"/>
      <c r="AJ10" s="55"/>
      <c r="AK10" s="383"/>
      <c r="AL10" s="383"/>
    </row>
    <row r="11" spans="1:38" s="54" customFormat="1" ht="30" customHeight="1">
      <c r="A11" s="105" t="s">
        <v>197</v>
      </c>
      <c r="B11" s="58"/>
      <c r="C11" s="143">
        <v>0</v>
      </c>
      <c r="D11" s="302"/>
      <c r="E11" s="143">
        <v>0</v>
      </c>
      <c r="F11" s="303"/>
      <c r="G11" s="143">
        <f>'درآمد ناشی از فروش'!I32</f>
        <v>0</v>
      </c>
      <c r="H11" s="303"/>
      <c r="I11" s="143">
        <f t="shared" si="1"/>
        <v>0</v>
      </c>
      <c r="J11" s="214"/>
      <c r="K11" s="329">
        <v>0</v>
      </c>
      <c r="L11" s="214"/>
      <c r="M11" s="308">
        <v>0</v>
      </c>
      <c r="N11" s="302"/>
      <c r="O11" s="285">
        <v>0</v>
      </c>
      <c r="P11" s="303"/>
      <c r="Q11" s="143">
        <f>'درآمد ناشی از فروش'!Q32</f>
        <v>434653</v>
      </c>
      <c r="R11" s="303"/>
      <c r="S11" s="143">
        <f t="shared" si="0"/>
        <v>434653</v>
      </c>
      <c r="T11" s="143"/>
      <c r="U11" s="329">
        <v>1.0959925812862828E-6</v>
      </c>
      <c r="V11" s="299">
        <v>0</v>
      </c>
      <c r="W11" s="304"/>
      <c r="X11" s="305"/>
      <c r="Y11" s="306"/>
      <c r="Z11" s="55"/>
      <c r="AA11" s="56"/>
      <c r="AB11" s="55"/>
      <c r="AC11" s="53"/>
      <c r="AD11" s="55"/>
      <c r="AE11" s="56"/>
      <c r="AF11" s="55"/>
      <c r="AG11" s="56"/>
      <c r="AH11" s="55"/>
      <c r="AI11" s="56"/>
      <c r="AJ11" s="55"/>
      <c r="AK11" s="386"/>
      <c r="AL11" s="386"/>
    </row>
    <row r="12" spans="1:38" s="54" customFormat="1" ht="30" customHeight="1">
      <c r="A12" s="105" t="s">
        <v>198</v>
      </c>
      <c r="B12" s="58"/>
      <c r="C12" s="143">
        <v>0</v>
      </c>
      <c r="D12" s="302"/>
      <c r="E12" s="143">
        <v>0</v>
      </c>
      <c r="F12" s="303"/>
      <c r="G12" s="143">
        <v>0</v>
      </c>
      <c r="H12" s="303"/>
      <c r="I12" s="143">
        <f t="shared" si="1"/>
        <v>0</v>
      </c>
      <c r="J12" s="214"/>
      <c r="K12" s="329">
        <v>0</v>
      </c>
      <c r="L12" s="214"/>
      <c r="M12" s="308">
        <v>0</v>
      </c>
      <c r="N12" s="302"/>
      <c r="O12" s="285">
        <v>0</v>
      </c>
      <c r="P12" s="303"/>
      <c r="Q12" s="143">
        <v>186835</v>
      </c>
      <c r="R12" s="303"/>
      <c r="S12" s="143">
        <f t="shared" si="0"/>
        <v>186835</v>
      </c>
      <c r="T12" s="143"/>
      <c r="U12" s="329">
        <v>4.7111091819134488E-7</v>
      </c>
      <c r="V12" s="299">
        <v>0</v>
      </c>
      <c r="W12" s="304"/>
      <c r="X12" s="305"/>
      <c r="Y12" s="306"/>
      <c r="Z12" s="55"/>
      <c r="AA12" s="56"/>
      <c r="AB12" s="55"/>
      <c r="AC12" s="57"/>
      <c r="AD12" s="53"/>
      <c r="AE12" s="56"/>
      <c r="AF12" s="55"/>
      <c r="AG12" s="56"/>
      <c r="AH12" s="55"/>
      <c r="AI12" s="56"/>
      <c r="AJ12" s="55"/>
      <c r="AK12" s="386"/>
      <c r="AL12" s="386"/>
    </row>
    <row r="13" spans="1:38" s="54" customFormat="1" ht="30" customHeight="1">
      <c r="A13" s="105" t="s">
        <v>199</v>
      </c>
      <c r="B13" s="58"/>
      <c r="C13" s="143">
        <v>0</v>
      </c>
      <c r="D13" s="302"/>
      <c r="E13" s="143">
        <v>0</v>
      </c>
      <c r="F13" s="303"/>
      <c r="G13" s="143">
        <v>0</v>
      </c>
      <c r="H13" s="303"/>
      <c r="I13" s="143">
        <f t="shared" si="1"/>
        <v>0</v>
      </c>
      <c r="J13" s="214"/>
      <c r="K13" s="329">
        <v>0</v>
      </c>
      <c r="L13" s="214"/>
      <c r="M13" s="308">
        <v>0</v>
      </c>
      <c r="N13" s="302"/>
      <c r="O13" s="285">
        <v>0</v>
      </c>
      <c r="P13" s="303"/>
      <c r="Q13" s="285">
        <v>-95779605</v>
      </c>
      <c r="R13" s="303"/>
      <c r="S13" s="285">
        <f t="shared" si="0"/>
        <v>-95779605</v>
      </c>
      <c r="T13" s="311"/>
      <c r="U13" s="322">
        <f>S13/درآمد!F11</f>
        <v>-3.8935438709588585E-4</v>
      </c>
      <c r="V13" s="299">
        <v>0.01</v>
      </c>
      <c r="W13" s="304"/>
      <c r="X13" s="305"/>
      <c r="Y13" s="306"/>
      <c r="Z13" s="55"/>
      <c r="AA13" s="56"/>
      <c r="AB13" s="55"/>
      <c r="AC13" s="53"/>
      <c r="AD13" s="55"/>
      <c r="AE13" s="56"/>
      <c r="AF13" s="55"/>
      <c r="AG13" s="56"/>
      <c r="AH13" s="55"/>
      <c r="AI13" s="56"/>
      <c r="AJ13" s="55"/>
      <c r="AK13" s="386"/>
      <c r="AL13" s="386"/>
    </row>
    <row r="14" spans="1:38" s="54" customFormat="1" ht="30" customHeight="1">
      <c r="A14" s="105" t="s">
        <v>200</v>
      </c>
      <c r="B14" s="58"/>
      <c r="C14" s="143">
        <v>0</v>
      </c>
      <c r="D14" s="302"/>
      <c r="E14" s="143">
        <v>0</v>
      </c>
      <c r="F14" s="303"/>
      <c r="G14" s="143">
        <v>0</v>
      </c>
      <c r="H14" s="303"/>
      <c r="I14" s="143">
        <f t="shared" si="1"/>
        <v>0</v>
      </c>
      <c r="J14" s="214"/>
      <c r="K14" s="329">
        <v>0</v>
      </c>
      <c r="L14" s="214"/>
      <c r="M14" s="308">
        <v>0</v>
      </c>
      <c r="N14" s="302"/>
      <c r="O14" s="285">
        <v>0</v>
      </c>
      <c r="P14" s="303"/>
      <c r="Q14" s="143">
        <v>101458</v>
      </c>
      <c r="R14" s="303"/>
      <c r="S14" s="143">
        <f t="shared" si="0"/>
        <v>101458</v>
      </c>
      <c r="T14" s="143"/>
      <c r="U14" s="329">
        <v>2.5582985809862968E-7</v>
      </c>
      <c r="V14" s="299">
        <v>0</v>
      </c>
      <c r="W14" s="304"/>
      <c r="X14" s="305"/>
      <c r="Y14" s="306"/>
      <c r="Z14" s="55"/>
      <c r="AA14" s="56"/>
      <c r="AB14" s="55"/>
      <c r="AC14" s="53"/>
      <c r="AD14" s="55"/>
      <c r="AE14" s="56"/>
      <c r="AF14" s="55"/>
      <c r="AG14" s="56"/>
      <c r="AH14" s="55"/>
      <c r="AI14" s="56"/>
      <c r="AJ14" s="55"/>
      <c r="AK14" s="386"/>
      <c r="AL14" s="386"/>
    </row>
    <row r="15" spans="1:38" s="54" customFormat="1" ht="30" customHeight="1">
      <c r="A15" s="105" t="s">
        <v>228</v>
      </c>
      <c r="B15" s="58"/>
      <c r="C15" s="143">
        <v>0</v>
      </c>
      <c r="D15" s="302"/>
      <c r="E15" s="143">
        <v>0</v>
      </c>
      <c r="F15" s="303"/>
      <c r="G15" s="143">
        <v>0</v>
      </c>
      <c r="H15" s="303"/>
      <c r="I15" s="143">
        <f t="shared" si="1"/>
        <v>0</v>
      </c>
      <c r="J15" s="214"/>
      <c r="K15" s="329">
        <v>0</v>
      </c>
      <c r="L15" s="214"/>
      <c r="M15" s="308">
        <v>0</v>
      </c>
      <c r="N15" s="302"/>
      <c r="O15" s="285">
        <v>0</v>
      </c>
      <c r="P15" s="303"/>
      <c r="Q15" s="143">
        <v>516051</v>
      </c>
      <c r="R15" s="303"/>
      <c r="S15" s="143">
        <f t="shared" si="0"/>
        <v>516051</v>
      </c>
      <c r="T15" s="143"/>
      <c r="U15" s="329">
        <v>1.3012404551800343E-6</v>
      </c>
      <c r="V15" s="299">
        <v>0</v>
      </c>
      <c r="W15" s="304"/>
      <c r="X15" s="305"/>
      <c r="Y15" s="306"/>
      <c r="Z15" s="55"/>
      <c r="AA15" s="56"/>
      <c r="AB15" s="55"/>
      <c r="AC15" s="53"/>
      <c r="AD15" s="55"/>
      <c r="AE15" s="56"/>
      <c r="AF15" s="55"/>
      <c r="AG15" s="56"/>
      <c r="AH15" s="55"/>
      <c r="AI15" s="56"/>
      <c r="AJ15" s="55"/>
      <c r="AK15" s="56"/>
      <c r="AL15" s="56"/>
    </row>
    <row r="16" spans="1:38" s="54" customFormat="1" ht="30" customHeight="1">
      <c r="A16" s="105" t="s">
        <v>233</v>
      </c>
      <c r="B16" s="58"/>
      <c r="C16" s="143">
        <v>0</v>
      </c>
      <c r="D16" s="302"/>
      <c r="E16" s="143">
        <v>0</v>
      </c>
      <c r="F16" s="303"/>
      <c r="G16" s="143">
        <f>'درآمد ناشی از فروش'!I31</f>
        <v>0</v>
      </c>
      <c r="H16" s="303"/>
      <c r="I16" s="143">
        <f t="shared" si="1"/>
        <v>0</v>
      </c>
      <c r="J16" s="214"/>
      <c r="K16" s="329">
        <v>0</v>
      </c>
      <c r="L16" s="214"/>
      <c r="M16" s="308">
        <v>0</v>
      </c>
      <c r="N16" s="302"/>
      <c r="O16" s="285">
        <v>0</v>
      </c>
      <c r="P16" s="303"/>
      <c r="Q16" s="143">
        <f>'درآمد ناشی از فروش'!Q31</f>
        <v>313099</v>
      </c>
      <c r="R16" s="303"/>
      <c r="S16" s="143">
        <f t="shared" si="0"/>
        <v>313099</v>
      </c>
      <c r="T16" s="143"/>
      <c r="U16" s="329">
        <v>7.8948996373694379E-7</v>
      </c>
      <c r="V16" s="299">
        <v>0</v>
      </c>
      <c r="W16" s="304"/>
      <c r="X16" s="305"/>
      <c r="Y16" s="306"/>
      <c r="Z16" s="55"/>
      <c r="AA16" s="56"/>
      <c r="AB16" s="55"/>
      <c r="AC16" s="53"/>
      <c r="AD16" s="55"/>
      <c r="AE16" s="56"/>
      <c r="AF16" s="55"/>
      <c r="AG16" s="56"/>
      <c r="AH16" s="55"/>
      <c r="AI16" s="56"/>
      <c r="AJ16" s="55"/>
      <c r="AK16" s="56"/>
      <c r="AL16" s="56"/>
    </row>
    <row r="17" spans="1:38" s="54" customFormat="1" ht="30" customHeight="1">
      <c r="A17" s="105" t="s">
        <v>229</v>
      </c>
      <c r="B17" s="58"/>
      <c r="C17" s="143">
        <v>0</v>
      </c>
      <c r="D17" s="302"/>
      <c r="E17" s="143">
        <v>0</v>
      </c>
      <c r="F17" s="303"/>
      <c r="G17" s="143">
        <v>0</v>
      </c>
      <c r="H17" s="303"/>
      <c r="I17" s="143">
        <f t="shared" si="1"/>
        <v>0</v>
      </c>
      <c r="J17" s="214"/>
      <c r="K17" s="329">
        <v>0</v>
      </c>
      <c r="L17" s="214"/>
      <c r="M17" s="308">
        <v>0</v>
      </c>
      <c r="N17" s="302"/>
      <c r="O17" s="285">
        <v>0</v>
      </c>
      <c r="P17" s="303"/>
      <c r="Q17" s="143">
        <v>228482</v>
      </c>
      <c r="R17" s="303"/>
      <c r="S17" s="143">
        <f t="shared" si="0"/>
        <v>228482</v>
      </c>
      <c r="T17" s="143"/>
      <c r="U17" s="329">
        <v>5.7612526994511126E-7</v>
      </c>
      <c r="V17" s="299">
        <v>0.03</v>
      </c>
      <c r="W17" s="304"/>
      <c r="X17" s="305"/>
      <c r="Y17" s="306"/>
      <c r="Z17" s="55"/>
      <c r="AA17" s="56"/>
      <c r="AB17" s="55"/>
      <c r="AC17" s="53"/>
      <c r="AD17" s="55"/>
      <c r="AE17" s="56"/>
      <c r="AF17" s="55"/>
      <c r="AG17" s="56"/>
      <c r="AH17" s="55"/>
      <c r="AI17" s="56"/>
      <c r="AJ17" s="55"/>
      <c r="AK17" s="56"/>
      <c r="AL17" s="56"/>
    </row>
    <row r="18" spans="1:38" s="54" customFormat="1" ht="30" customHeight="1">
      <c r="A18" s="105" t="s">
        <v>276</v>
      </c>
      <c r="B18" s="105"/>
      <c r="C18" s="143">
        <v>0</v>
      </c>
      <c r="D18" s="302"/>
      <c r="E18" s="143">
        <v>0</v>
      </c>
      <c r="F18" s="303"/>
      <c r="G18" s="143">
        <f>'درآمد ناشی از فروش'!I7</f>
        <v>0</v>
      </c>
      <c r="H18" s="303"/>
      <c r="I18" s="143">
        <f t="shared" si="1"/>
        <v>0</v>
      </c>
      <c r="J18" s="214"/>
      <c r="K18" s="407">
        <f>I18/درآمد!F11</f>
        <v>0</v>
      </c>
      <c r="L18" s="214"/>
      <c r="M18" s="308">
        <v>0</v>
      </c>
      <c r="N18" s="302"/>
      <c r="O18" s="285">
        <v>0</v>
      </c>
      <c r="P18" s="303"/>
      <c r="Q18" s="143">
        <f>'درآمد ناشی از فروش'!Q7</f>
        <v>70959710</v>
      </c>
      <c r="R18" s="303"/>
      <c r="S18" s="143">
        <f t="shared" si="0"/>
        <v>70959710</v>
      </c>
      <c r="T18" s="143"/>
      <c r="U18" s="310">
        <f>S18/درآمد!F11</f>
        <v>2.8845884669864534E-4</v>
      </c>
      <c r="V18" s="299"/>
      <c r="W18" s="304"/>
      <c r="X18" s="305"/>
      <c r="Y18" s="306"/>
      <c r="Z18" s="55"/>
      <c r="AA18" s="56"/>
      <c r="AB18" s="55"/>
      <c r="AC18" s="53"/>
      <c r="AD18" s="55"/>
      <c r="AE18" s="56"/>
      <c r="AF18" s="55"/>
      <c r="AG18" s="56"/>
      <c r="AH18" s="55"/>
      <c r="AI18" s="56"/>
      <c r="AJ18" s="55"/>
      <c r="AK18" s="56"/>
      <c r="AL18" s="56"/>
    </row>
    <row r="19" spans="1:38" s="54" customFormat="1" ht="30" customHeight="1">
      <c r="A19" s="105" t="s">
        <v>287</v>
      </c>
      <c r="B19" s="105"/>
      <c r="C19" s="143">
        <v>0</v>
      </c>
      <c r="D19" s="302"/>
      <c r="E19" s="143">
        <v>0</v>
      </c>
      <c r="F19" s="303"/>
      <c r="G19" s="143">
        <f>'درآمد ناشی از فروش'!I10</f>
        <v>34632</v>
      </c>
      <c r="H19" s="303"/>
      <c r="I19" s="143">
        <f t="shared" si="1"/>
        <v>34632</v>
      </c>
      <c r="J19" s="214"/>
      <c r="K19" s="407">
        <f>I19/درآمد!F11</f>
        <v>1.4078280166121712E-7</v>
      </c>
      <c r="L19" s="214"/>
      <c r="M19" s="308">
        <v>0</v>
      </c>
      <c r="N19" s="302"/>
      <c r="O19" s="285">
        <v>0</v>
      </c>
      <c r="P19" s="303"/>
      <c r="Q19" s="143">
        <f>'درآمد ناشی از فروش'!Q10</f>
        <v>34632</v>
      </c>
      <c r="R19" s="303"/>
      <c r="S19" s="143">
        <f t="shared" si="0"/>
        <v>34632</v>
      </c>
      <c r="T19" s="143"/>
      <c r="U19" s="407">
        <f>S19/درآمد!F11</f>
        <v>1.4078280166121712E-7</v>
      </c>
      <c r="V19" s="299"/>
      <c r="W19" s="304"/>
      <c r="X19" s="305"/>
      <c r="Y19" s="306"/>
      <c r="Z19" s="55"/>
      <c r="AA19" s="56"/>
      <c r="AB19" s="55"/>
      <c r="AC19" s="53"/>
      <c r="AD19" s="55"/>
      <c r="AE19" s="56"/>
      <c r="AF19" s="55"/>
      <c r="AG19" s="56"/>
      <c r="AH19" s="55"/>
      <c r="AI19" s="56"/>
      <c r="AJ19" s="55"/>
      <c r="AK19" s="56"/>
      <c r="AL19" s="56"/>
    </row>
    <row r="20" spans="1:38" s="54" customFormat="1" ht="30" customHeight="1">
      <c r="A20" s="105" t="s">
        <v>286</v>
      </c>
      <c r="B20" s="105"/>
      <c r="C20" s="143">
        <v>0</v>
      </c>
      <c r="D20" s="302"/>
      <c r="E20" s="285">
        <f>'درآمد ناشی از تغییر قیمت اوراق'!I12</f>
        <v>-127887930</v>
      </c>
      <c r="F20" s="303"/>
      <c r="G20" s="143">
        <v>0</v>
      </c>
      <c r="H20" s="303"/>
      <c r="I20" s="285">
        <f t="shared" si="1"/>
        <v>-127887930</v>
      </c>
      <c r="J20" s="214"/>
      <c r="K20" s="322">
        <f>I20/درآمد!F11</f>
        <v>-5.1987817868022685E-4</v>
      </c>
      <c r="L20" s="214"/>
      <c r="M20" s="308">
        <v>0</v>
      </c>
      <c r="N20" s="302"/>
      <c r="O20" s="285">
        <f>'درآمد ناشی از تغییر قیمت اوراق'!Q12</f>
        <v>-127887930</v>
      </c>
      <c r="P20" s="303"/>
      <c r="Q20" s="143">
        <v>0</v>
      </c>
      <c r="R20" s="303"/>
      <c r="S20" s="143">
        <f t="shared" si="0"/>
        <v>-127887930</v>
      </c>
      <c r="T20" s="143"/>
      <c r="U20" s="322">
        <f>S20/درآمد!F11</f>
        <v>-5.1987817868022685E-4</v>
      </c>
      <c r="V20" s="299"/>
      <c r="W20" s="304"/>
      <c r="X20" s="305"/>
      <c r="Y20" s="306"/>
      <c r="Z20" s="55"/>
      <c r="AA20" s="56"/>
      <c r="AB20" s="55"/>
      <c r="AC20" s="53"/>
      <c r="AD20" s="55"/>
      <c r="AE20" s="56"/>
      <c r="AF20" s="55"/>
      <c r="AG20" s="56"/>
      <c r="AH20" s="55"/>
      <c r="AI20" s="56"/>
      <c r="AJ20" s="55"/>
      <c r="AK20" s="56"/>
      <c r="AL20" s="56"/>
    </row>
    <row r="21" spans="1:38" s="54" customFormat="1" ht="30" customHeight="1">
      <c r="A21" s="105" t="s">
        <v>285</v>
      </c>
      <c r="B21" s="105"/>
      <c r="C21" s="143">
        <v>0</v>
      </c>
      <c r="D21" s="302"/>
      <c r="E21" s="285">
        <f>'درآمد ناشی از تغییر قیمت اوراق'!I23</f>
        <v>-6862</v>
      </c>
      <c r="F21" s="303"/>
      <c r="G21" s="143">
        <v>0</v>
      </c>
      <c r="H21" s="303"/>
      <c r="I21" s="285">
        <f t="shared" si="1"/>
        <v>-6862</v>
      </c>
      <c r="J21" s="214"/>
      <c r="K21" s="407">
        <f>I21/درآمد!F11</f>
        <v>-2.7894767411621386E-8</v>
      </c>
      <c r="L21" s="214"/>
      <c r="M21" s="308">
        <v>0</v>
      </c>
      <c r="N21" s="302"/>
      <c r="O21" s="285">
        <f>'درآمد ناشی از تغییر قیمت اوراق'!Q23</f>
        <v>-6862</v>
      </c>
      <c r="P21" s="303"/>
      <c r="Q21" s="143">
        <v>0</v>
      </c>
      <c r="R21" s="303"/>
      <c r="S21" s="143">
        <f t="shared" si="0"/>
        <v>-6862</v>
      </c>
      <c r="T21" s="143"/>
      <c r="U21" s="407">
        <f>S21/درآمد!F11</f>
        <v>-2.7894767411621386E-8</v>
      </c>
      <c r="V21" s="299"/>
      <c r="W21" s="304"/>
      <c r="X21" s="305"/>
      <c r="Y21" s="306"/>
      <c r="Z21" s="55"/>
      <c r="AA21" s="56"/>
      <c r="AB21" s="55"/>
      <c r="AC21" s="53"/>
      <c r="AD21" s="55"/>
      <c r="AE21" s="56"/>
      <c r="AF21" s="55"/>
      <c r="AG21" s="56"/>
      <c r="AH21" s="55"/>
      <c r="AI21" s="56"/>
      <c r="AJ21" s="55"/>
      <c r="AK21" s="56"/>
      <c r="AL21" s="56"/>
    </row>
    <row r="22" spans="1:38" s="54" customFormat="1" ht="30" customHeight="1">
      <c r="A22" s="105" t="s">
        <v>277</v>
      </c>
      <c r="B22" s="58"/>
      <c r="C22" s="143">
        <v>0</v>
      </c>
      <c r="D22" s="302"/>
      <c r="E22" s="143">
        <v>0</v>
      </c>
      <c r="F22" s="303"/>
      <c r="G22" s="143">
        <f>'درآمد ناشی از فروش'!I9</f>
        <v>169747</v>
      </c>
      <c r="H22" s="303"/>
      <c r="I22" s="143">
        <f t="shared" si="1"/>
        <v>169747</v>
      </c>
      <c r="J22" s="214"/>
      <c r="K22" s="329">
        <f>I22/درآمد!F11</f>
        <v>6.9003979653461025E-7</v>
      </c>
      <c r="L22" s="214"/>
      <c r="M22" s="308">
        <v>0</v>
      </c>
      <c r="N22" s="302"/>
      <c r="O22" s="285">
        <v>0</v>
      </c>
      <c r="P22" s="303"/>
      <c r="Q22" s="143">
        <f>'درآمد ناشی از فروش'!Q9</f>
        <v>169747</v>
      </c>
      <c r="R22" s="303"/>
      <c r="S22" s="143">
        <f t="shared" si="0"/>
        <v>169747</v>
      </c>
      <c r="T22" s="143"/>
      <c r="U22" s="329">
        <f>S22/درآمد!F11</f>
        <v>6.9003979653461025E-7</v>
      </c>
      <c r="V22" s="299"/>
      <c r="W22" s="304"/>
      <c r="X22" s="305"/>
      <c r="Y22" s="306"/>
      <c r="Z22" s="55"/>
      <c r="AA22" s="56"/>
      <c r="AB22" s="55"/>
      <c r="AC22" s="53"/>
      <c r="AD22" s="55"/>
      <c r="AE22" s="56"/>
      <c r="AF22" s="55"/>
      <c r="AG22" s="56"/>
      <c r="AH22" s="55"/>
      <c r="AI22" s="56"/>
      <c r="AJ22" s="55"/>
      <c r="AK22" s="56"/>
      <c r="AL22" s="56"/>
    </row>
    <row r="23" spans="1:38" s="54" customFormat="1" ht="30" customHeight="1">
      <c r="A23" s="105" t="s">
        <v>239</v>
      </c>
      <c r="B23" s="58"/>
      <c r="C23" s="143">
        <v>0</v>
      </c>
      <c r="D23" s="302"/>
      <c r="E23" s="143">
        <v>0</v>
      </c>
      <c r="F23" s="303"/>
      <c r="G23" s="143">
        <f>'درآمد ناشی از فروش'!I8</f>
        <v>0</v>
      </c>
      <c r="H23" s="303"/>
      <c r="I23" s="143">
        <f t="shared" si="1"/>
        <v>0</v>
      </c>
      <c r="J23" s="214"/>
      <c r="K23" s="329">
        <f>I23/درآمد!F11</f>
        <v>0</v>
      </c>
      <c r="L23" s="214"/>
      <c r="M23" s="308">
        <v>0</v>
      </c>
      <c r="N23" s="302"/>
      <c r="O23" s="285">
        <v>0</v>
      </c>
      <c r="P23" s="401"/>
      <c r="Q23" s="143">
        <f>'درآمد ناشی از فروش'!Q8</f>
        <v>1044771</v>
      </c>
      <c r="R23" s="401"/>
      <c r="S23" s="143">
        <f t="shared" si="0"/>
        <v>1044771</v>
      </c>
      <c r="T23" s="403"/>
      <c r="U23" s="329">
        <v>2.6147431331511117E-6</v>
      </c>
      <c r="V23" s="299"/>
      <c r="W23" s="304"/>
      <c r="X23" s="305"/>
      <c r="Y23" s="306"/>
      <c r="Z23" s="55"/>
      <c r="AA23" s="56"/>
      <c r="AB23" s="55"/>
      <c r="AC23" s="53"/>
      <c r="AD23" s="55"/>
      <c r="AE23" s="56"/>
      <c r="AF23" s="55"/>
      <c r="AG23" s="56"/>
      <c r="AH23" s="55"/>
      <c r="AI23" s="56"/>
      <c r="AJ23" s="55"/>
      <c r="AK23" s="56"/>
      <c r="AL23" s="56"/>
    </row>
    <row r="24" spans="1:38" ht="30" customHeight="1" thickBot="1">
      <c r="A24" s="314" t="s">
        <v>12</v>
      </c>
      <c r="B24"/>
      <c r="C24" s="223">
        <f>SUM(C8:C23)</f>
        <v>0</v>
      </c>
      <c r="D24" s="230"/>
      <c r="E24" s="205">
        <f>SUM(E8:E23)</f>
        <v>-127894792</v>
      </c>
      <c r="F24" s="270"/>
      <c r="G24" s="205">
        <f>SUM(G8:G23)</f>
        <v>204379</v>
      </c>
      <c r="H24" s="270"/>
      <c r="I24" s="205">
        <f>SUM(I8:I23)</f>
        <v>-127690413</v>
      </c>
      <c r="J24" s="204"/>
      <c r="K24" s="278">
        <f>SUM(K8:K23)</f>
        <v>-5.190752508494427E-4</v>
      </c>
      <c r="L24" s="204"/>
      <c r="M24" s="223">
        <f>SUM(M8:M23)</f>
        <v>0</v>
      </c>
      <c r="N24" s="231"/>
      <c r="O24" s="205">
        <f>SUM(O8:O23)</f>
        <v>-127894792</v>
      </c>
      <c r="P24" s="400"/>
      <c r="Q24" s="243">
        <f>SUM(Q8:Q23)</f>
        <v>-20767324</v>
      </c>
      <c r="R24" s="400"/>
      <c r="S24" s="243">
        <f>SUM(S8:S23)</f>
        <v>-148662116</v>
      </c>
      <c r="T24" s="402">
        <v>-19399995418</v>
      </c>
      <c r="U24" s="278">
        <f>SUM(U8:U23)</f>
        <v>-6.1000858423652623E-4</v>
      </c>
      <c r="V24" s="157">
        <v>-1.38</v>
      </c>
      <c r="W24" s="143"/>
      <c r="X24" s="144"/>
      <c r="Y24" s="56"/>
      <c r="Z24" s="55"/>
      <c r="AA24" s="56"/>
      <c r="AB24" s="55"/>
      <c r="AC24" s="53"/>
      <c r="AD24" s="55"/>
      <c r="AE24" s="56"/>
      <c r="AF24" s="55"/>
      <c r="AG24" s="56"/>
      <c r="AH24" s="55"/>
      <c r="AI24" s="56"/>
      <c r="AJ24" s="55"/>
      <c r="AK24" s="383"/>
      <c r="AL24" s="383"/>
    </row>
    <row r="25" spans="1:38" ht="30" customHeight="1" thickTop="1">
      <c r="Q25" s="268"/>
      <c r="W25" s="143"/>
      <c r="X25" s="144"/>
      <c r="Y25" s="56"/>
      <c r="Z25" s="55"/>
      <c r="AA25" s="56"/>
      <c r="AB25" s="55"/>
      <c r="AC25" s="383"/>
      <c r="AD25" s="383"/>
      <c r="AE25" s="56"/>
      <c r="AF25" s="55"/>
      <c r="AG25" s="56"/>
      <c r="AH25" s="55"/>
      <c r="AI25" s="56"/>
      <c r="AJ25" s="55"/>
      <c r="AK25" s="383"/>
      <c r="AL25" s="383"/>
    </row>
    <row r="26" spans="1:38" ht="30" customHeight="1">
      <c r="W26" s="143"/>
      <c r="X26" s="144"/>
      <c r="Y26" s="56"/>
      <c r="Z26" s="55"/>
      <c r="AA26" s="56"/>
      <c r="AB26" s="55"/>
      <c r="AC26" s="383"/>
      <c r="AD26" s="383"/>
      <c r="AE26" s="56"/>
      <c r="AF26" s="55"/>
      <c r="AG26" s="56"/>
      <c r="AH26" s="55"/>
      <c r="AI26" s="56"/>
      <c r="AJ26" s="55"/>
      <c r="AK26" s="383"/>
      <c r="AL26" s="383"/>
    </row>
    <row r="27" spans="1:38" ht="30" customHeight="1">
      <c r="W27" s="143"/>
      <c r="X27" s="144"/>
      <c r="Y27" s="56"/>
      <c r="Z27" s="55"/>
      <c r="AA27" s="56"/>
      <c r="AB27" s="55"/>
      <c r="AC27" s="53"/>
      <c r="AD27" s="55"/>
      <c r="AE27" s="56"/>
      <c r="AF27" s="55"/>
      <c r="AG27" s="56"/>
      <c r="AH27" s="55"/>
      <c r="AI27" s="56"/>
      <c r="AJ27" s="55"/>
      <c r="AK27" s="383"/>
      <c r="AL27" s="383"/>
    </row>
    <row r="28" spans="1:38" ht="30" customHeight="1">
      <c r="W28" s="143"/>
      <c r="X28" s="144"/>
      <c r="Y28" s="56"/>
      <c r="Z28" s="55"/>
      <c r="AA28" s="56"/>
      <c r="AB28" s="55"/>
      <c r="AC28" s="53"/>
      <c r="AD28" s="55"/>
      <c r="AE28" s="56"/>
      <c r="AF28" s="55"/>
      <c r="AG28" s="56"/>
      <c r="AH28" s="55"/>
      <c r="AI28" s="56"/>
      <c r="AJ28" s="55"/>
      <c r="AK28" s="383"/>
      <c r="AL28" s="383"/>
    </row>
    <row r="29" spans="1:38" ht="30" customHeight="1">
      <c r="W29" s="143"/>
      <c r="X29" s="144"/>
      <c r="Y29" s="56"/>
      <c r="Z29" s="55"/>
      <c r="AA29" s="56"/>
      <c r="AB29" s="55"/>
      <c r="AC29" s="57"/>
      <c r="AD29" s="55"/>
      <c r="AE29" s="56"/>
      <c r="AF29" s="55"/>
      <c r="AG29" s="56"/>
      <c r="AH29" s="55"/>
      <c r="AI29" s="56"/>
      <c r="AJ29" s="55"/>
      <c r="AK29" s="384"/>
      <c r="AL29" s="384"/>
    </row>
    <row r="30" spans="1:38" ht="30" customHeight="1">
      <c r="W30" s="70"/>
      <c r="X30" s="145"/>
      <c r="Y30" s="70"/>
      <c r="Z30" s="58"/>
      <c r="AA30" s="70"/>
      <c r="AB30" s="58"/>
      <c r="AC30" s="70"/>
      <c r="AD30" s="58"/>
      <c r="AE30" s="70"/>
      <c r="AF30" s="58"/>
      <c r="AG30" s="70"/>
      <c r="AH30" s="58"/>
      <c r="AI30" s="70"/>
      <c r="AJ30" s="58"/>
      <c r="AK30" s="385"/>
      <c r="AL30" s="385"/>
    </row>
  </sheetData>
  <mergeCells count="25">
    <mergeCell ref="I6:K6"/>
    <mergeCell ref="S6:U6"/>
    <mergeCell ref="N7:O7"/>
    <mergeCell ref="A1:U1"/>
    <mergeCell ref="A2:U2"/>
    <mergeCell ref="A3:U3"/>
    <mergeCell ref="C5:K5"/>
    <mergeCell ref="M5:U5"/>
    <mergeCell ref="A4:U4"/>
    <mergeCell ref="AK13:AL13"/>
    <mergeCell ref="AK14:AL14"/>
    <mergeCell ref="AE8:AL8"/>
    <mergeCell ref="AK9:AL9"/>
    <mergeCell ref="AK10:AL10"/>
    <mergeCell ref="AK11:AL11"/>
    <mergeCell ref="AK12:AL12"/>
    <mergeCell ref="AK27:AL27"/>
    <mergeCell ref="AK28:AL28"/>
    <mergeCell ref="AK29:AL29"/>
    <mergeCell ref="AK30:AL30"/>
    <mergeCell ref="AK24:AL24"/>
    <mergeCell ref="AC26:AD26"/>
    <mergeCell ref="AK26:AL26"/>
    <mergeCell ref="AC25:AD25"/>
    <mergeCell ref="AK25:AL25"/>
  </mergeCells>
  <pageMargins left="0.39" right="0.39" top="0.39" bottom="0.39" header="0" footer="0"/>
  <pageSetup scale="6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31869B"/>
    <pageSetUpPr fitToPage="1"/>
  </sheetPr>
  <dimension ref="A1:T32"/>
  <sheetViews>
    <sheetView rightToLeft="1" view="pageBreakPreview" zoomScale="98" zoomScaleNormal="100" zoomScaleSheetLayoutView="98" workbookViewId="0">
      <selection activeCell="S1" sqref="S1"/>
    </sheetView>
  </sheetViews>
  <sheetFormatPr defaultRowHeight="30" customHeight="1"/>
  <cols>
    <col min="1" max="1" width="37.140625" style="54" bestFit="1" customWidth="1"/>
    <col min="2" max="2" width="1.28515625" style="54" customWidth="1"/>
    <col min="3" max="3" width="17.7109375" style="264" customWidth="1"/>
    <col min="4" max="4" width="1.28515625" style="181" customWidth="1"/>
    <col min="5" max="5" width="17" style="261" customWidth="1"/>
    <col min="6" max="6" width="1.28515625" style="261" customWidth="1"/>
    <col min="7" max="7" width="22.28515625" style="261" bestFit="1" customWidth="1"/>
    <col min="8" max="8" width="1.28515625" style="54" customWidth="1"/>
    <col min="9" max="9" width="12.28515625" style="324" customWidth="1"/>
    <col min="10" max="10" width="1.140625" style="54" customWidth="1"/>
    <col min="11" max="11" width="18.5703125" style="247" bestFit="1" customWidth="1"/>
    <col min="12" max="12" width="1.28515625" style="247" customWidth="1"/>
    <col min="13" max="13" width="17.5703125" style="247" bestFit="1" customWidth="1"/>
    <col min="14" max="14" width="1.28515625" style="247" customWidth="1"/>
    <col min="15" max="15" width="18.7109375" style="247" bestFit="1" customWidth="1"/>
    <col min="16" max="16" width="0.5703125" style="54" customWidth="1"/>
    <col min="17" max="17" width="16.85546875" style="319" customWidth="1"/>
    <col min="18" max="18" width="0.28515625" style="54" customWidth="1"/>
    <col min="19" max="19" width="24.85546875" style="97" bestFit="1" customWidth="1"/>
    <col min="20" max="20" width="18.7109375" style="289" customWidth="1"/>
    <col min="21" max="16384" width="9.140625" style="54"/>
  </cols>
  <sheetData>
    <row r="1" spans="1:20" ht="30" customHeight="1">
      <c r="A1" s="387" t="s">
        <v>0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</row>
    <row r="2" spans="1:20" ht="30" customHeight="1">
      <c r="A2" s="387" t="s">
        <v>88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</row>
    <row r="3" spans="1:20" ht="30" customHeight="1">
      <c r="A3" s="387" t="s">
        <v>283</v>
      </c>
      <c r="B3" s="387"/>
      <c r="C3" s="387"/>
      <c r="D3" s="387"/>
      <c r="E3" s="387"/>
      <c r="F3" s="387"/>
      <c r="G3" s="387"/>
      <c r="H3" s="387"/>
      <c r="I3" s="387"/>
      <c r="J3" s="387"/>
      <c r="K3" s="387"/>
      <c r="L3" s="387"/>
      <c r="M3" s="387"/>
      <c r="N3" s="387"/>
      <c r="O3" s="387"/>
      <c r="P3" s="387"/>
      <c r="Q3" s="387"/>
    </row>
    <row r="4" spans="1:20" s="88" customFormat="1" ht="30" customHeight="1">
      <c r="A4" s="390" t="s">
        <v>158</v>
      </c>
      <c r="B4" s="390"/>
      <c r="C4" s="390"/>
      <c r="D4" s="390"/>
      <c r="E4" s="390"/>
      <c r="F4" s="390"/>
      <c r="G4" s="390"/>
      <c r="H4" s="390"/>
      <c r="I4" s="390"/>
      <c r="J4" s="390"/>
      <c r="K4" s="390"/>
      <c r="L4" s="390"/>
      <c r="M4" s="390"/>
      <c r="N4" s="390"/>
      <c r="O4" s="390"/>
      <c r="P4" s="390"/>
      <c r="Q4" s="390"/>
      <c r="S4" s="290"/>
      <c r="T4" s="291"/>
    </row>
    <row r="5" spans="1:20" ht="24" customHeight="1">
      <c r="C5" s="360" t="s">
        <v>99</v>
      </c>
      <c r="D5" s="360"/>
      <c r="E5" s="360"/>
      <c r="F5" s="360"/>
      <c r="G5" s="360"/>
      <c r="H5" s="360"/>
      <c r="I5" s="360"/>
      <c r="K5" s="352" t="str">
        <f>'درآمد سرمایه گذاری در سهام'!$M$5</f>
        <v>از ابتدای سال مالی تا پایان ماه</v>
      </c>
      <c r="L5" s="352"/>
      <c r="M5" s="352"/>
      <c r="N5" s="352"/>
      <c r="O5" s="352"/>
      <c r="P5" s="352"/>
      <c r="Q5" s="352"/>
    </row>
    <row r="6" spans="1:20" ht="24" customHeight="1">
      <c r="C6" s="391" t="s">
        <v>102</v>
      </c>
      <c r="D6" s="222"/>
      <c r="E6" s="393" t="s">
        <v>103</v>
      </c>
      <c r="F6" s="259"/>
      <c r="G6" s="354" t="s">
        <v>12</v>
      </c>
      <c r="H6" s="354"/>
      <c r="I6" s="354"/>
      <c r="K6" s="393" t="s">
        <v>102</v>
      </c>
      <c r="L6" s="265"/>
      <c r="M6" s="393" t="s">
        <v>103</v>
      </c>
      <c r="N6" s="265"/>
      <c r="O6" s="354" t="s">
        <v>12</v>
      </c>
      <c r="P6" s="354"/>
      <c r="Q6" s="354"/>
    </row>
    <row r="7" spans="1:20" ht="38.25" customHeight="1">
      <c r="A7" s="60" t="s">
        <v>26</v>
      </c>
      <c r="C7" s="392"/>
      <c r="E7" s="394"/>
      <c r="G7" s="262" t="s">
        <v>74</v>
      </c>
      <c r="H7" s="80"/>
      <c r="I7" s="320" t="s">
        <v>91</v>
      </c>
      <c r="K7" s="394"/>
      <c r="M7" s="394"/>
      <c r="O7" s="262" t="s">
        <v>74</v>
      </c>
      <c r="P7" s="80"/>
      <c r="Q7" s="318" t="s">
        <v>91</v>
      </c>
    </row>
    <row r="8" spans="1:20" ht="30" customHeight="1">
      <c r="A8" s="356" t="s">
        <v>281</v>
      </c>
      <c r="B8" s="356"/>
      <c r="C8" s="292">
        <f>'درآمد ناشی از تغییر قیمت اوراق'!I17</f>
        <v>4894809540</v>
      </c>
      <c r="D8" s="293"/>
      <c r="E8" s="292">
        <f>'درآمد ناشی از فروش'!I13</f>
        <v>1608573</v>
      </c>
      <c r="F8" s="292"/>
      <c r="G8" s="292">
        <f>C8+E8</f>
        <v>4896418113</v>
      </c>
      <c r="H8" s="294"/>
      <c r="I8" s="331">
        <f>G8/درآمد!F11</f>
        <v>1.9904465813492433E-2</v>
      </c>
      <c r="J8" s="296"/>
      <c r="K8" s="297">
        <f>'درآمد ناشی از تغییر قیمت اوراق'!Q17</f>
        <v>8216666911</v>
      </c>
      <c r="L8" s="293"/>
      <c r="M8" s="292">
        <f>'درآمد ناشی از فروش'!Q13</f>
        <v>1608573</v>
      </c>
      <c r="N8" s="292"/>
      <c r="O8" s="292">
        <f t="shared" ref="O8:O17" si="0">K8+M8</f>
        <v>8218275484</v>
      </c>
      <c r="P8" s="296"/>
      <c r="Q8" s="331">
        <f>O8/درآمد!F11</f>
        <v>3.3408173003615586E-2</v>
      </c>
      <c r="R8" s="296">
        <v>0</v>
      </c>
      <c r="T8" s="298"/>
    </row>
    <row r="9" spans="1:20" ht="30" customHeight="1">
      <c r="A9" s="356" t="s">
        <v>270</v>
      </c>
      <c r="B9" s="356"/>
      <c r="C9" s="292">
        <f>'درآمد ناشی از تغییر قیمت اوراق'!I15</f>
        <v>-3674727368</v>
      </c>
      <c r="D9" s="293"/>
      <c r="E9" s="292">
        <f>'درآمد ناشی از فروش'!I11</f>
        <v>1853685923</v>
      </c>
      <c r="F9" s="292"/>
      <c r="G9" s="292">
        <f t="shared" ref="G8:G17" si="1">C9+E9</f>
        <v>-1821041445</v>
      </c>
      <c r="H9" s="294"/>
      <c r="I9" s="405">
        <f>G9/درآمد!F11</f>
        <v>-7.4027291686385773E-3</v>
      </c>
      <c r="J9" s="296"/>
      <c r="K9" s="292">
        <f>'درآمد ناشی از تغییر قیمت اوراق'!Q15</f>
        <v>4592427556</v>
      </c>
      <c r="L9" s="293"/>
      <c r="M9" s="292">
        <f>'درآمد ناشی از فروش'!Q11</f>
        <v>1853685923</v>
      </c>
      <c r="N9" s="292"/>
      <c r="O9" s="292">
        <f t="shared" si="0"/>
        <v>6446113479</v>
      </c>
      <c r="P9" s="296"/>
      <c r="Q9" s="326">
        <f>O9/درآمد!F11</f>
        <v>2.6204144011311943E-2</v>
      </c>
      <c r="R9" s="296">
        <v>0.02</v>
      </c>
      <c r="T9" s="298"/>
    </row>
    <row r="10" spans="1:20" ht="30" customHeight="1">
      <c r="A10" s="356" t="s">
        <v>269</v>
      </c>
      <c r="B10" s="356"/>
      <c r="C10" s="292">
        <f>'درآمد ناشی از تغییر قیمت اوراق'!I7</f>
        <v>7669312432</v>
      </c>
      <c r="D10" s="293"/>
      <c r="E10" s="292">
        <f>'درآمد ناشی از فروش'!I12</f>
        <v>0</v>
      </c>
      <c r="F10" s="292"/>
      <c r="G10" s="292">
        <f t="shared" si="1"/>
        <v>7669312432</v>
      </c>
      <c r="H10" s="294"/>
      <c r="I10" s="321">
        <f>G10/درآمد!F11</f>
        <v>3.11765792039779E-2</v>
      </c>
      <c r="J10" s="296"/>
      <c r="K10" s="292">
        <f>'درآمد ناشی از تغییر قیمت اوراق'!Q7</f>
        <v>11285293312</v>
      </c>
      <c r="L10" s="293"/>
      <c r="M10" s="292">
        <f>'درآمد ناشی از فروش'!Q12</f>
        <v>-32186115</v>
      </c>
      <c r="N10" s="292"/>
      <c r="O10" s="292">
        <f t="shared" si="0"/>
        <v>11253107197</v>
      </c>
      <c r="P10" s="296"/>
      <c r="Q10" s="321">
        <f>O10/درآمد!F11</f>
        <v>4.5745090049308899E-2</v>
      </c>
      <c r="R10" s="296">
        <v>-0.04</v>
      </c>
      <c r="T10" s="298"/>
    </row>
    <row r="11" spans="1:20" ht="30" customHeight="1">
      <c r="A11" s="356" t="s">
        <v>219</v>
      </c>
      <c r="B11" s="356"/>
      <c r="C11" s="292">
        <f>'درآمد ناشی از تغییر قیمت اوراق'!I11</f>
        <v>635644275</v>
      </c>
      <c r="D11" s="293"/>
      <c r="E11" s="292">
        <v>0</v>
      </c>
      <c r="F11" s="292"/>
      <c r="G11" s="292">
        <f t="shared" si="1"/>
        <v>635644275</v>
      </c>
      <c r="H11" s="294"/>
      <c r="I11" s="321">
        <f>G11/درآمد!F11</f>
        <v>2.5839622861634657E-3</v>
      </c>
      <c r="J11" s="296"/>
      <c r="K11" s="292">
        <f>'درآمد ناشی از تغییر قیمت اوراق'!Q11</f>
        <v>2010409800</v>
      </c>
      <c r="L11" s="293"/>
      <c r="M11" s="292">
        <v>0</v>
      </c>
      <c r="N11" s="292"/>
      <c r="O11" s="292">
        <f t="shared" si="0"/>
        <v>2010409800</v>
      </c>
      <c r="P11" s="296"/>
      <c r="Q11" s="326">
        <f>O11/درآمد!F11</f>
        <v>8.1725318818193331E-3</v>
      </c>
      <c r="R11" s="296">
        <v>0.72</v>
      </c>
      <c r="T11" s="298"/>
    </row>
    <row r="12" spans="1:20" ht="30" customHeight="1">
      <c r="A12" s="356" t="s">
        <v>220</v>
      </c>
      <c r="B12" s="356"/>
      <c r="C12" s="292">
        <v>0</v>
      </c>
      <c r="D12" s="293"/>
      <c r="E12" s="292">
        <f>'درآمد ناشی از فروش'!I17</f>
        <v>14109927408</v>
      </c>
      <c r="F12" s="292"/>
      <c r="G12" s="292">
        <f t="shared" si="1"/>
        <v>14109927408</v>
      </c>
      <c r="H12" s="294"/>
      <c r="I12" s="321">
        <f>G12/درآمد!F11</f>
        <v>5.7358371209708804E-2</v>
      </c>
      <c r="J12" s="296"/>
      <c r="K12" s="292">
        <v>0</v>
      </c>
      <c r="L12" s="293"/>
      <c r="M12" s="292">
        <f>'درآمد ناشی از فروش'!Q17</f>
        <v>14109927408</v>
      </c>
      <c r="N12" s="292"/>
      <c r="O12" s="292">
        <f t="shared" si="0"/>
        <v>14109927408</v>
      </c>
      <c r="P12" s="296"/>
      <c r="Q12" s="326">
        <f>O12/درآمد!F11</f>
        <v>5.7358371209708804E-2</v>
      </c>
      <c r="R12" s="296">
        <v>0.06</v>
      </c>
      <c r="T12" s="298"/>
    </row>
    <row r="13" spans="1:20" ht="30" customHeight="1">
      <c r="A13" s="356" t="s">
        <v>221</v>
      </c>
      <c r="B13" s="356"/>
      <c r="C13" s="292">
        <v>0</v>
      </c>
      <c r="D13" s="293"/>
      <c r="E13" s="292">
        <f>'درآمد ناشی از فروش'!I20</f>
        <v>12915274842</v>
      </c>
      <c r="F13" s="292"/>
      <c r="G13" s="292">
        <f t="shared" si="1"/>
        <v>12915274842</v>
      </c>
      <c r="H13" s="294"/>
      <c r="I13" s="321">
        <f>G13/درآمد!F11</f>
        <v>5.2501980147880378E-2</v>
      </c>
      <c r="J13" s="296"/>
      <c r="K13" s="292">
        <v>0</v>
      </c>
      <c r="L13" s="293"/>
      <c r="M13" s="292">
        <f>'درآمد ناشی از فروش'!Q20</f>
        <v>12915274842</v>
      </c>
      <c r="N13" s="292"/>
      <c r="O13" s="292">
        <f t="shared" si="0"/>
        <v>12915274842</v>
      </c>
      <c r="P13" s="296"/>
      <c r="Q13" s="326">
        <f>O13/درآمد!F11</f>
        <v>5.2501980147880378E-2</v>
      </c>
      <c r="R13" s="296">
        <v>0.18</v>
      </c>
      <c r="T13" s="298"/>
    </row>
    <row r="14" spans="1:20" ht="30" customHeight="1">
      <c r="A14" s="356" t="s">
        <v>268</v>
      </c>
      <c r="B14" s="356"/>
      <c r="C14" s="292">
        <f>'درآمد ناشی از تغییر قیمت اوراق'!I13</f>
        <v>709156875</v>
      </c>
      <c r="D14" s="293"/>
      <c r="E14" s="292">
        <v>0</v>
      </c>
      <c r="F14" s="292"/>
      <c r="G14" s="292">
        <f t="shared" si="1"/>
        <v>709156875</v>
      </c>
      <c r="H14" s="294"/>
      <c r="I14" s="321">
        <f>G14/درآمد!F11</f>
        <v>2.8827989050535211E-3</v>
      </c>
      <c r="J14" s="296"/>
      <c r="K14" s="292">
        <f>'درآمد ناشی از تغییر قیمت اوراق'!Q13</f>
        <v>4562575500</v>
      </c>
      <c r="L14" s="293"/>
      <c r="M14" s="292">
        <v>0</v>
      </c>
      <c r="N14" s="292"/>
      <c r="O14" s="292">
        <f t="shared" si="0"/>
        <v>4562575500</v>
      </c>
      <c r="P14" s="296"/>
      <c r="Q14" s="326">
        <f>O14/درآمد!F11</f>
        <v>1.8547359715893639E-2</v>
      </c>
      <c r="R14" s="296">
        <v>1.5</v>
      </c>
      <c r="T14" s="298"/>
    </row>
    <row r="15" spans="1:20" ht="30" customHeight="1">
      <c r="A15" s="356" t="s">
        <v>267</v>
      </c>
      <c r="B15" s="356"/>
      <c r="C15" s="292">
        <f>'درآمد ناشی از تغییر قیمت اوراق'!I8</f>
        <v>310926336</v>
      </c>
      <c r="D15" s="293"/>
      <c r="E15" s="292">
        <v>0</v>
      </c>
      <c r="F15" s="292"/>
      <c r="G15" s="292">
        <f t="shared" si="1"/>
        <v>310926336</v>
      </c>
      <c r="H15" s="294"/>
      <c r="I15" s="321">
        <f>G15/درآمد!F11</f>
        <v>1.2639489689401985E-3</v>
      </c>
      <c r="J15" s="296"/>
      <c r="K15" s="292">
        <f>'درآمد ناشی از تغییر قیمت اوراق'!Q8</f>
        <v>1447239360</v>
      </c>
      <c r="L15" s="293"/>
      <c r="M15" s="292">
        <v>0</v>
      </c>
      <c r="N15" s="292"/>
      <c r="O15" s="292">
        <f t="shared" si="0"/>
        <v>1447239360</v>
      </c>
      <c r="P15" s="296"/>
      <c r="Q15" s="326">
        <f>O15/درآمد!F11</f>
        <v>5.8831835231920419E-3</v>
      </c>
      <c r="R15" s="296">
        <v>0</v>
      </c>
      <c r="T15" s="298"/>
    </row>
    <row r="16" spans="1:20" ht="30" customHeight="1">
      <c r="A16" s="356" t="s">
        <v>266</v>
      </c>
      <c r="B16" s="356"/>
      <c r="C16" s="292">
        <f>'درآمد ناشی از تغییر قیمت اوراق'!I20</f>
        <v>-104646887</v>
      </c>
      <c r="D16" s="293"/>
      <c r="E16" s="292">
        <f>'درآمد ناشی از فروش'!I21</f>
        <v>1052899497</v>
      </c>
      <c r="F16" s="292"/>
      <c r="G16" s="292">
        <f t="shared" si="1"/>
        <v>948252610</v>
      </c>
      <c r="H16" s="294"/>
      <c r="I16" s="321">
        <f>G16/درآمد!F11</f>
        <v>3.8547487617914492E-3</v>
      </c>
      <c r="J16" s="296"/>
      <c r="K16" s="297">
        <f>'درآمد ناشی از تغییر قیمت اوراق'!Q20</f>
        <v>13143490</v>
      </c>
      <c r="L16" s="293"/>
      <c r="M16" s="292">
        <f>'درآمد ناشی از فروش'!Q21</f>
        <v>2986975184</v>
      </c>
      <c r="N16" s="292"/>
      <c r="O16" s="292">
        <f t="shared" si="0"/>
        <v>3000118674</v>
      </c>
      <c r="P16" s="296"/>
      <c r="Q16" s="326">
        <f>O16/درآمد!F11</f>
        <v>1.2195804811788395E-2</v>
      </c>
      <c r="R16" s="296">
        <v>7.0000000000000007E-2</v>
      </c>
      <c r="T16" s="298"/>
    </row>
    <row r="17" spans="1:20" ht="30" customHeight="1">
      <c r="A17" s="356" t="s">
        <v>238</v>
      </c>
      <c r="B17" s="356"/>
      <c r="C17" s="297">
        <f>'درآمد ناشی از تغییر قیمت اوراق'!I10</f>
        <v>4293163686</v>
      </c>
      <c r="D17" s="293"/>
      <c r="E17" s="292">
        <v>0</v>
      </c>
      <c r="F17" s="292"/>
      <c r="G17" s="292">
        <f t="shared" si="1"/>
        <v>4293163686</v>
      </c>
      <c r="H17" s="294"/>
      <c r="I17" s="321">
        <f>G17/درآمد!F11</f>
        <v>1.7452171740161636E-2</v>
      </c>
      <c r="J17" s="296"/>
      <c r="K17" s="297">
        <f>'درآمد ناشی از تغییر قیمت اوراق'!Q10</f>
        <v>16634625224</v>
      </c>
      <c r="L17" s="293"/>
      <c r="M17" s="292">
        <v>0</v>
      </c>
      <c r="N17" s="292"/>
      <c r="O17" s="292">
        <f t="shared" si="0"/>
        <v>16634625224</v>
      </c>
      <c r="P17" s="296"/>
      <c r="Q17" s="326">
        <f>O17/درآمد!F11</f>
        <v>6.7621539143539827E-2</v>
      </c>
      <c r="R17" s="296">
        <v>0.06</v>
      </c>
      <c r="T17" s="298"/>
    </row>
    <row r="18" spans="1:20" ht="30" customHeight="1">
      <c r="A18" s="356" t="s">
        <v>265</v>
      </c>
      <c r="B18" s="356"/>
      <c r="C18" s="292">
        <f>'درآمد ناشی از تغییر قیمت اوراق'!I19</f>
        <v>1281854</v>
      </c>
      <c r="D18" s="293"/>
      <c r="E18" s="292">
        <v>0</v>
      </c>
      <c r="F18" s="292"/>
      <c r="G18" s="292">
        <f>C18+E18</f>
        <v>1281854</v>
      </c>
      <c r="H18" s="294"/>
      <c r="I18" s="406">
        <f>G18/درآمد!F11</f>
        <v>5.2108742619726785E-6</v>
      </c>
      <c r="J18" s="296"/>
      <c r="K18" s="292">
        <f>'درآمد ناشی از تغییر قیمت اوراق'!Q19</f>
        <v>6649251</v>
      </c>
      <c r="L18" s="293"/>
      <c r="M18" s="292">
        <v>8221</v>
      </c>
      <c r="N18" s="292"/>
      <c r="O18" s="292">
        <f>K18+M18</f>
        <v>6657472</v>
      </c>
      <c r="P18" s="296"/>
      <c r="Q18" s="325">
        <f>O18/درآمد!F11</f>
        <v>2.706333911241356E-5</v>
      </c>
      <c r="R18" s="296">
        <v>0.41</v>
      </c>
      <c r="T18" s="298"/>
    </row>
    <row r="19" spans="1:20" ht="30" customHeight="1">
      <c r="A19" s="356" t="s">
        <v>264</v>
      </c>
      <c r="B19" s="356"/>
      <c r="C19" s="292">
        <f>'درآمد ناشی از تغییر قیمت اوراق'!I26</f>
        <v>1499985095</v>
      </c>
      <c r="D19" s="293"/>
      <c r="E19" s="292">
        <v>0</v>
      </c>
      <c r="F19" s="292"/>
      <c r="G19" s="292">
        <f t="shared" ref="G19:G30" si="2">C19+E19</f>
        <v>1499985095</v>
      </c>
      <c r="H19" s="294"/>
      <c r="I19" s="321">
        <f>G19/درآمد!F11</f>
        <v>6.0976006041859234E-3</v>
      </c>
      <c r="J19" s="296"/>
      <c r="K19" s="292">
        <f>'درآمد ناشی از تغییر قیمت اوراق'!Q26</f>
        <v>2599256016</v>
      </c>
      <c r="L19" s="293"/>
      <c r="M19" s="292">
        <v>0</v>
      </c>
      <c r="N19" s="292"/>
      <c r="O19" s="292">
        <f t="shared" ref="O19:O30" si="3">K19+M19</f>
        <v>2599256016</v>
      </c>
      <c r="P19" s="296"/>
      <c r="Q19" s="326">
        <f>O19/درآمد!F11</f>
        <v>1.0566255029084471E-2</v>
      </c>
      <c r="R19" s="296">
        <v>0</v>
      </c>
      <c r="T19" s="298"/>
    </row>
    <row r="20" spans="1:20" ht="30" customHeight="1">
      <c r="A20" s="356" t="s">
        <v>263</v>
      </c>
      <c r="B20" s="356"/>
      <c r="C20" s="292">
        <f>'درآمد ناشی از تغییر قیمت اوراق'!I16</f>
        <v>2273690904</v>
      </c>
      <c r="D20" s="293"/>
      <c r="E20" s="292">
        <f>'درآمد ناشی از فروش'!I15</f>
        <v>276533781</v>
      </c>
      <c r="F20" s="292"/>
      <c r="G20" s="292">
        <f t="shared" si="2"/>
        <v>2550224685</v>
      </c>
      <c r="H20" s="294"/>
      <c r="I20" s="321">
        <f>G20/درآمد!F11</f>
        <v>1.0366937399511864E-2</v>
      </c>
      <c r="J20" s="296"/>
      <c r="K20" s="292">
        <f>'درآمد ناشی از تغییر قیمت اوراق'!Q16</f>
        <v>1521014364</v>
      </c>
      <c r="L20" s="293"/>
      <c r="M20" s="292">
        <f>'درآمد ناشی از فروش'!Q15</f>
        <v>3807639113</v>
      </c>
      <c r="N20" s="292"/>
      <c r="O20" s="292">
        <f t="shared" si="3"/>
        <v>5328653477</v>
      </c>
      <c r="P20" s="296"/>
      <c r="Q20" s="321">
        <f>O20/درآمد!F11</f>
        <v>2.1661549017493818E-2</v>
      </c>
      <c r="R20" s="296">
        <v>0</v>
      </c>
      <c r="T20" s="298"/>
    </row>
    <row r="21" spans="1:20" ht="30" customHeight="1">
      <c r="A21" s="356" t="s">
        <v>262</v>
      </c>
      <c r="B21" s="356"/>
      <c r="C21" s="292">
        <f>'درآمد ناشی از تغییر قیمت اوراق'!I9</f>
        <v>-1751991554</v>
      </c>
      <c r="D21" s="293"/>
      <c r="E21" s="292">
        <v>0</v>
      </c>
      <c r="F21" s="292"/>
      <c r="G21" s="292">
        <f t="shared" si="2"/>
        <v>-1751991554</v>
      </c>
      <c r="H21" s="294"/>
      <c r="I21" s="405">
        <f>G21/درآمد!F11</f>
        <v>-7.122033941409955E-3</v>
      </c>
      <c r="J21" s="296"/>
      <c r="K21" s="292">
        <f>'درآمد ناشی از تغییر قیمت اوراق'!Q9</f>
        <v>5177454034</v>
      </c>
      <c r="L21" s="293"/>
      <c r="M21" s="292">
        <v>0</v>
      </c>
      <c r="N21" s="292"/>
      <c r="O21" s="292">
        <f t="shared" si="3"/>
        <v>5177454034</v>
      </c>
      <c r="P21" s="296"/>
      <c r="Q21" s="404">
        <f>O21/درآمد!F11</f>
        <v>2.1046907033341718E-2</v>
      </c>
      <c r="R21" s="296">
        <v>0.1</v>
      </c>
      <c r="T21" s="298"/>
    </row>
    <row r="22" spans="1:20" ht="30" customHeight="1">
      <c r="A22" s="356" t="s">
        <v>261</v>
      </c>
      <c r="B22" s="356"/>
      <c r="C22" s="292">
        <f>'درآمد ناشی از تغییر قیمت اوراق'!I25</f>
        <v>398526188</v>
      </c>
      <c r="D22" s="293"/>
      <c r="E22" s="292">
        <v>0</v>
      </c>
      <c r="F22" s="292"/>
      <c r="G22" s="292">
        <f t="shared" si="2"/>
        <v>398526188</v>
      </c>
      <c r="H22" s="294"/>
      <c r="I22" s="321">
        <f>G22/درآمد!F11</f>
        <v>1.6200517810696733E-3</v>
      </c>
      <c r="J22" s="296"/>
      <c r="K22" s="292">
        <f>'درآمد ناشی از تغییر قیمت اوراق'!Q25</f>
        <v>853666123</v>
      </c>
      <c r="L22" s="293"/>
      <c r="M22" s="292">
        <v>0</v>
      </c>
      <c r="N22" s="292"/>
      <c r="O22" s="292">
        <f t="shared" si="3"/>
        <v>853666123</v>
      </c>
      <c r="P22" s="296"/>
      <c r="Q22" s="321">
        <f>O22/درآمد!F11</f>
        <v>3.4702445275816922E-3</v>
      </c>
      <c r="R22" s="296">
        <v>-0.15</v>
      </c>
      <c r="T22" s="298"/>
    </row>
    <row r="23" spans="1:20" ht="30" customHeight="1">
      <c r="A23" s="356" t="s">
        <v>260</v>
      </c>
      <c r="B23" s="356"/>
      <c r="C23" s="297">
        <f>'درآمد ناشی از تغییر قیمت اوراق'!I18</f>
        <v>744498558</v>
      </c>
      <c r="D23" s="293"/>
      <c r="E23" s="292">
        <f>'درآمد ناشی از فروش'!I16</f>
        <v>5734570201</v>
      </c>
      <c r="F23" s="292"/>
      <c r="G23" s="292">
        <f t="shared" si="2"/>
        <v>6479068759</v>
      </c>
      <c r="H23" s="294"/>
      <c r="I23" s="321">
        <f>G23/درآمد!F11</f>
        <v>2.6338110765987674E-2</v>
      </c>
      <c r="J23" s="296"/>
      <c r="K23" s="297">
        <f>'درآمد ناشی از تغییر قیمت اوراق'!Q18</f>
        <v>23728170610</v>
      </c>
      <c r="L23" s="293"/>
      <c r="M23" s="292">
        <f>'درآمد ناشی از فروش'!Q16</f>
        <v>5734570201</v>
      </c>
      <c r="N23" s="292"/>
      <c r="O23" s="292">
        <f t="shared" si="3"/>
        <v>29462740811</v>
      </c>
      <c r="P23" s="296"/>
      <c r="Q23" s="326">
        <f>O23/درآمد!F11</f>
        <v>0.11976920755344364</v>
      </c>
      <c r="R23" s="296">
        <v>0.15</v>
      </c>
      <c r="T23" s="298"/>
    </row>
    <row r="24" spans="1:20" ht="30" customHeight="1">
      <c r="A24" s="280" t="s">
        <v>282</v>
      </c>
      <c r="B24" s="280"/>
      <c r="C24" s="297">
        <v>0</v>
      </c>
      <c r="D24" s="293"/>
      <c r="E24" s="292">
        <v>0</v>
      </c>
      <c r="F24" s="292"/>
      <c r="G24" s="292">
        <f t="shared" si="2"/>
        <v>0</v>
      </c>
      <c r="H24" s="294"/>
      <c r="I24" s="325">
        <f>G24/درآمد!F11</f>
        <v>0</v>
      </c>
      <c r="J24" s="296"/>
      <c r="K24" s="297">
        <v>0</v>
      </c>
      <c r="L24" s="293"/>
      <c r="M24" s="292">
        <f>'درآمد ناشی از فروش'!Q14</f>
        <v>1179154150</v>
      </c>
      <c r="N24" s="292"/>
      <c r="O24" s="292">
        <f t="shared" si="3"/>
        <v>1179154150</v>
      </c>
      <c r="P24" s="296"/>
      <c r="Q24" s="326">
        <f>O24/درآمد!F11</f>
        <v>4.7933883352809844E-3</v>
      </c>
      <c r="R24" s="296"/>
      <c r="T24" s="298"/>
    </row>
    <row r="25" spans="1:20" ht="30" customHeight="1">
      <c r="A25" s="280" t="s">
        <v>272</v>
      </c>
      <c r="B25" s="280"/>
      <c r="C25" s="297">
        <f>'درآمد ناشی از تغییر قیمت اوراق'!I21</f>
        <v>67679536</v>
      </c>
      <c r="D25" s="293"/>
      <c r="E25" s="292">
        <v>0</v>
      </c>
      <c r="F25" s="292"/>
      <c r="G25" s="292">
        <f t="shared" si="2"/>
        <v>67679536</v>
      </c>
      <c r="H25" s="294"/>
      <c r="I25" s="321">
        <f>G25/درآمد!F11</f>
        <v>2.751245868910604E-4</v>
      </c>
      <c r="J25" s="296"/>
      <c r="K25" s="297">
        <f>'درآمد ناشی از تغییر قیمت اوراق'!Q21</f>
        <v>1814262566</v>
      </c>
      <c r="L25" s="293"/>
      <c r="M25" s="292">
        <v>0</v>
      </c>
      <c r="N25" s="292"/>
      <c r="O25" s="292">
        <f t="shared" si="3"/>
        <v>1814262566</v>
      </c>
      <c r="P25" s="296"/>
      <c r="Q25" s="326">
        <f>O25/درآمد!F11</f>
        <v>7.3751722970243939E-3</v>
      </c>
      <c r="R25" s="296"/>
      <c r="T25" s="298"/>
    </row>
    <row r="26" spans="1:20" ht="30" customHeight="1">
      <c r="A26" s="280" t="s">
        <v>273</v>
      </c>
      <c r="B26" s="280"/>
      <c r="C26" s="292">
        <f>'درآمد ناشی از تغییر قیمت اوراق'!I22</f>
        <v>455391602</v>
      </c>
      <c r="D26" s="293"/>
      <c r="E26" s="292">
        <v>0</v>
      </c>
      <c r="F26" s="292"/>
      <c r="G26" s="292">
        <f t="shared" si="2"/>
        <v>455391602</v>
      </c>
      <c r="H26" s="294"/>
      <c r="I26" s="321">
        <f>G26/درآمد!F11</f>
        <v>1.8512157999119288E-3</v>
      </c>
      <c r="J26" s="296"/>
      <c r="K26" s="292">
        <f>'درآمد ناشی از تغییر قیمت اوراق'!Q22</f>
        <v>419766602</v>
      </c>
      <c r="L26" s="293"/>
      <c r="M26" s="292">
        <v>0</v>
      </c>
      <c r="N26" s="292"/>
      <c r="O26" s="292">
        <f t="shared" si="3"/>
        <v>419766602</v>
      </c>
      <c r="P26" s="296"/>
      <c r="Q26" s="326">
        <f>O26/درآمد!F11</f>
        <v>1.7063963465398782E-3</v>
      </c>
      <c r="R26" s="296"/>
      <c r="T26" s="298"/>
    </row>
    <row r="27" spans="1:20" ht="30" customHeight="1">
      <c r="A27" s="280" t="s">
        <v>244</v>
      </c>
      <c r="B27" s="280"/>
      <c r="C27" s="292">
        <v>0</v>
      </c>
      <c r="D27" s="293"/>
      <c r="E27" s="292">
        <f>'درآمد ناشی از فروش'!I19</f>
        <v>-639456316</v>
      </c>
      <c r="F27" s="292"/>
      <c r="G27" s="292">
        <f t="shared" si="2"/>
        <v>-639456316</v>
      </c>
      <c r="H27" s="294"/>
      <c r="I27" s="322">
        <f>G27/درآمد!F11</f>
        <v>-2.5994586424821142E-3</v>
      </c>
      <c r="J27" s="296"/>
      <c r="K27" s="292">
        <v>0</v>
      </c>
      <c r="L27" s="293"/>
      <c r="M27" s="292">
        <f>'درآمد ناشی از فروش'!Q19</f>
        <v>-639456316</v>
      </c>
      <c r="N27" s="292"/>
      <c r="O27" s="292">
        <f t="shared" si="3"/>
        <v>-639456316</v>
      </c>
      <c r="P27" s="296"/>
      <c r="Q27" s="322">
        <f>O27/درآمد!F11</f>
        <v>-2.5994586424821142E-3</v>
      </c>
      <c r="R27" s="296"/>
      <c r="T27" s="298"/>
    </row>
    <row r="28" spans="1:20" ht="30" customHeight="1">
      <c r="A28" s="280" t="s">
        <v>292</v>
      </c>
      <c r="B28" s="280"/>
      <c r="C28" s="292">
        <f>'درآمد ناشی از تغییر قیمت اوراق'!I14</f>
        <v>2291759530</v>
      </c>
      <c r="D28" s="293"/>
      <c r="E28" s="292">
        <v>0</v>
      </c>
      <c r="F28" s="292"/>
      <c r="G28" s="292">
        <f t="shared" si="2"/>
        <v>2291759530</v>
      </c>
      <c r="H28" s="294"/>
      <c r="I28" s="321">
        <f>G28/درآمد!F11</f>
        <v>9.3162487689764997E-3</v>
      </c>
      <c r="J28" s="296"/>
      <c r="K28" s="292">
        <f>'درآمد ناشی از تغییر قیمت اوراق'!Q14</f>
        <v>2291759530</v>
      </c>
      <c r="L28" s="293"/>
      <c r="M28" s="292">
        <v>0</v>
      </c>
      <c r="N28" s="292"/>
      <c r="O28" s="292">
        <f t="shared" si="3"/>
        <v>2291759530</v>
      </c>
      <c r="P28" s="296"/>
      <c r="Q28" s="326">
        <f>O28/درآمد!F11</f>
        <v>9.3162487689764997E-3</v>
      </c>
      <c r="R28" s="296"/>
      <c r="T28" s="298"/>
    </row>
    <row r="29" spans="1:20" ht="30" customHeight="1">
      <c r="A29" s="280" t="s">
        <v>303</v>
      </c>
      <c r="B29" s="280"/>
      <c r="C29" s="292">
        <f>'درآمد ناشی از تغییر قیمت اوراق'!I24</f>
        <v>2148139120</v>
      </c>
      <c r="D29" s="293"/>
      <c r="E29" s="292">
        <v>0</v>
      </c>
      <c r="F29" s="292"/>
      <c r="G29" s="292">
        <f t="shared" si="2"/>
        <v>2148139120</v>
      </c>
      <c r="H29" s="294"/>
      <c r="I29" s="321">
        <f>G29/درآمد!F11</f>
        <v>8.7324163684355926E-3</v>
      </c>
      <c r="J29" s="296"/>
      <c r="K29" s="292">
        <f>'درآمد ناشی از تغییر قیمت اوراق'!Q24</f>
        <v>2148139120</v>
      </c>
      <c r="L29" s="293"/>
      <c r="M29" s="292">
        <v>0</v>
      </c>
      <c r="N29" s="292"/>
      <c r="O29" s="292">
        <f t="shared" si="3"/>
        <v>2148139120</v>
      </c>
      <c r="P29" s="296"/>
      <c r="Q29" s="326">
        <f>O29/درآمد!F11</f>
        <v>8.7324163684355926E-3</v>
      </c>
      <c r="R29" s="296"/>
      <c r="T29" s="298"/>
    </row>
    <row r="30" spans="1:20" ht="30" customHeight="1">
      <c r="A30" s="280" t="s">
        <v>245</v>
      </c>
      <c r="B30" s="280"/>
      <c r="C30" s="292">
        <v>0</v>
      </c>
      <c r="D30" s="293"/>
      <c r="E30" s="292">
        <f>'درآمد ناشی از فروش'!I18</f>
        <v>-1806337826</v>
      </c>
      <c r="F30" s="292"/>
      <c r="G30" s="292">
        <f t="shared" si="2"/>
        <v>-1806337826</v>
      </c>
      <c r="H30" s="294"/>
      <c r="I30" s="322">
        <f>G30/درآمد!F11</f>
        <v>-7.3429573773074646E-3</v>
      </c>
      <c r="J30" s="296"/>
      <c r="K30" s="292">
        <v>0</v>
      </c>
      <c r="L30" s="293"/>
      <c r="M30" s="292">
        <f>'درآمد ناشی از فروش'!Q18</f>
        <v>-1806337826</v>
      </c>
      <c r="N30" s="292"/>
      <c r="O30" s="292">
        <f t="shared" si="3"/>
        <v>-1806337826</v>
      </c>
      <c r="P30" s="296"/>
      <c r="Q30" s="322">
        <f>O30/درآمد!F11</f>
        <v>-7.3429573773074646E-3</v>
      </c>
      <c r="R30" s="296"/>
      <c r="T30" s="298"/>
    </row>
    <row r="31" spans="1:20" ht="30" customHeight="1" thickBot="1">
      <c r="A31" s="166" t="s">
        <v>12</v>
      </c>
      <c r="B31" s="59"/>
      <c r="C31" s="91">
        <f>SUM(C8:C30)</f>
        <v>22862599722</v>
      </c>
      <c r="D31" s="91">
        <v>11262954665</v>
      </c>
      <c r="E31" s="254">
        <f t="shared" ref="E31:Q31" si="4">SUM(E8:E30)</f>
        <v>33498706083</v>
      </c>
      <c r="F31" s="258">
        <f t="shared" si="4"/>
        <v>0</v>
      </c>
      <c r="G31" s="263">
        <f t="shared" si="4"/>
        <v>56361305805</v>
      </c>
      <c r="H31" s="79">
        <f t="shared" si="4"/>
        <v>0</v>
      </c>
      <c r="I31" s="323">
        <f>SUM(I8:I30)</f>
        <v>0.22911476485656385</v>
      </c>
      <c r="J31" s="79">
        <f t="shared" si="4"/>
        <v>0</v>
      </c>
      <c r="K31" s="254">
        <f t="shared" si="4"/>
        <v>89322519369</v>
      </c>
      <c r="L31" s="258">
        <f t="shared" si="4"/>
        <v>0</v>
      </c>
      <c r="M31" s="254">
        <f>SUM(M8:M30)</f>
        <v>40110863358</v>
      </c>
      <c r="N31" s="258">
        <f t="shared" si="4"/>
        <v>0</v>
      </c>
      <c r="O31" s="254">
        <f t="shared" si="4"/>
        <v>129433382727</v>
      </c>
      <c r="P31" s="79">
        <f t="shared" si="4"/>
        <v>0</v>
      </c>
      <c r="Q31" s="323">
        <f t="shared" si="4"/>
        <v>0.52616061009458448</v>
      </c>
      <c r="T31" s="298"/>
    </row>
    <row r="32" spans="1:20" ht="30" customHeight="1" thickTop="1"/>
  </sheetData>
  <mergeCells count="28">
    <mergeCell ref="A1:Q1"/>
    <mergeCell ref="A2:Q2"/>
    <mergeCell ref="A3:Q3"/>
    <mergeCell ref="A4:Q4"/>
    <mergeCell ref="G6:I6"/>
    <mergeCell ref="O6:Q6"/>
    <mergeCell ref="C5:I5"/>
    <mergeCell ref="K5:Q5"/>
    <mergeCell ref="C6:C7"/>
    <mergeCell ref="E6:E7"/>
    <mergeCell ref="K6:K7"/>
    <mergeCell ref="M6:M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23:B23"/>
    <mergeCell ref="A18:B18"/>
    <mergeCell ref="A19:B19"/>
    <mergeCell ref="A20:B20"/>
    <mergeCell ref="A21:B21"/>
    <mergeCell ref="A22:B22"/>
  </mergeCells>
  <pageMargins left="0.39" right="0.39" top="0.39" bottom="0.39" header="0" footer="0"/>
  <pageSetup scale="7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31869B"/>
    <pageSetUpPr fitToPage="1"/>
  </sheetPr>
  <dimension ref="A1:R28"/>
  <sheetViews>
    <sheetView rightToLeft="1" view="pageBreakPreview" zoomScaleNormal="100" zoomScaleSheetLayoutView="100" workbookViewId="0">
      <selection activeCell="S1" sqref="S1"/>
    </sheetView>
  </sheetViews>
  <sheetFormatPr defaultRowHeight="30" customHeight="1"/>
  <cols>
    <col min="1" max="1" width="28.5703125" style="12" bestFit="1" customWidth="1"/>
    <col min="2" max="2" width="0.5703125" style="12" customWidth="1"/>
    <col min="3" max="3" width="19.28515625" style="77" customWidth="1"/>
    <col min="4" max="4" width="1.28515625" style="77" customWidth="1"/>
    <col min="5" max="5" width="19.7109375" style="255" customWidth="1"/>
    <col min="6" max="6" width="1.28515625" style="255" customWidth="1"/>
    <col min="7" max="7" width="17.140625" style="255" customWidth="1"/>
    <col min="8" max="8" width="1.28515625" style="77" customWidth="1"/>
    <col min="9" max="9" width="19.28515625" style="255" customWidth="1"/>
    <col min="10" max="10" width="1.28515625" style="255" customWidth="1"/>
    <col min="11" max="11" width="19" style="255" customWidth="1"/>
    <col min="12" max="12" width="1.28515625" style="77" customWidth="1"/>
    <col min="13" max="13" width="17.7109375" style="255" customWidth="1"/>
    <col min="14" max="14" width="1.28515625" style="77" customWidth="1"/>
    <col min="15" max="15" width="16" style="255" customWidth="1"/>
    <col min="16" max="16" width="1.28515625" style="77" customWidth="1"/>
    <col min="17" max="17" width="20.140625" style="77" customWidth="1"/>
    <col min="18" max="18" width="0.28515625" style="12" customWidth="1"/>
    <col min="19" max="16384" width="9.140625" style="12"/>
  </cols>
  <sheetData>
    <row r="1" spans="1:18" ht="30" customHeight="1">
      <c r="A1" s="343" t="s">
        <v>0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</row>
    <row r="2" spans="1:18" ht="30" customHeight="1">
      <c r="A2" s="343" t="s">
        <v>88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</row>
    <row r="3" spans="1:18" ht="30" customHeight="1">
      <c r="A3" s="343" t="s">
        <v>283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</row>
    <row r="4" spans="1:18" s="13" customFormat="1" ht="30" customHeight="1">
      <c r="A4" s="342" t="s">
        <v>159</v>
      </c>
      <c r="B4" s="342"/>
      <c r="C4" s="342"/>
      <c r="D4" s="342"/>
      <c r="E4" s="342"/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</row>
    <row r="5" spans="1:18" ht="30" customHeight="1">
      <c r="C5" s="352" t="s">
        <v>99</v>
      </c>
      <c r="D5" s="352"/>
      <c r="E5" s="352"/>
      <c r="F5" s="352"/>
      <c r="G5" s="352"/>
      <c r="H5" s="352"/>
      <c r="I5" s="352"/>
      <c r="K5" s="352" t="str">
        <f>'درآمد سرمایه گذاری در سهام'!$M$5</f>
        <v>از ابتدای سال مالی تا پایان ماه</v>
      </c>
      <c r="L5" s="352"/>
      <c r="M5" s="352"/>
      <c r="N5" s="352"/>
      <c r="O5" s="352"/>
      <c r="P5" s="352"/>
      <c r="Q5" s="352"/>
    </row>
    <row r="6" spans="1:18" ht="30" customHeight="1">
      <c r="A6" s="1" t="s">
        <v>104</v>
      </c>
      <c r="B6" s="11"/>
      <c r="C6" s="60" t="s">
        <v>105</v>
      </c>
      <c r="E6" s="252" t="s">
        <v>102</v>
      </c>
      <c r="G6" s="252" t="s">
        <v>103</v>
      </c>
      <c r="I6" s="252" t="s">
        <v>12</v>
      </c>
      <c r="K6" s="252" t="s">
        <v>105</v>
      </c>
      <c r="M6" s="252" t="s">
        <v>102</v>
      </c>
      <c r="O6" s="252" t="s">
        <v>103</v>
      </c>
      <c r="Q6" s="60" t="s">
        <v>12</v>
      </c>
    </row>
    <row r="7" spans="1:18" ht="30" customHeight="1">
      <c r="A7" s="4" t="s">
        <v>240</v>
      </c>
      <c r="B7" s="4"/>
      <c r="C7" s="219">
        <v>13676026875</v>
      </c>
      <c r="D7" s="218"/>
      <c r="E7" s="253">
        <f>'درآمد ناشی از تغییر قیمت اوراق'!I27</f>
        <v>29118989565</v>
      </c>
      <c r="F7" s="257"/>
      <c r="G7" s="253">
        <v>0</v>
      </c>
      <c r="H7" s="218"/>
      <c r="I7" s="253">
        <f>C7+E7+G7</f>
        <v>42795016440</v>
      </c>
      <c r="J7" s="257"/>
      <c r="K7" s="219">
        <f>'درآمد اوراق بهادار'!M16</f>
        <v>57478055953</v>
      </c>
      <c r="L7" s="218"/>
      <c r="M7" s="253">
        <f>'درآمد ناشی از تغییر قیمت اوراق'!Q27</f>
        <v>-5119878446</v>
      </c>
      <c r="N7" s="257"/>
      <c r="O7" s="253">
        <v>-5386544</v>
      </c>
      <c r="P7" s="218"/>
      <c r="Q7" s="253">
        <f>K7+M7+O7</f>
        <v>52352790963</v>
      </c>
      <c r="R7" s="36"/>
    </row>
    <row r="8" spans="1:18" ht="30" customHeight="1">
      <c r="A8" s="4" t="s">
        <v>53</v>
      </c>
      <c r="B8" s="4"/>
      <c r="C8" s="219">
        <f>'درآمد اوراق بهادار'!G14</f>
        <v>11573604422</v>
      </c>
      <c r="D8" s="218"/>
      <c r="E8" s="253">
        <v>0</v>
      </c>
      <c r="F8" s="257"/>
      <c r="G8" s="253">
        <v>0</v>
      </c>
      <c r="H8" s="218"/>
      <c r="I8" s="253">
        <f t="shared" ref="I8:I27" si="0">C8+E8+G8</f>
        <v>11573604422</v>
      </c>
      <c r="J8" s="257"/>
      <c r="K8" s="219">
        <f>'درآمد اوراق بهادار'!M14</f>
        <v>23300660162</v>
      </c>
      <c r="L8" s="218"/>
      <c r="M8" s="253">
        <v>0</v>
      </c>
      <c r="N8" s="257"/>
      <c r="O8" s="253">
        <f>'درآمد ناشی از فروش'!Q37</f>
        <v>7816534625</v>
      </c>
      <c r="P8" s="218"/>
      <c r="Q8" s="253">
        <f t="shared" ref="Q8:Q27" si="1">K8+M8+O8</f>
        <v>31117194787</v>
      </c>
      <c r="R8" s="36"/>
    </row>
    <row r="9" spans="1:18" ht="30" customHeight="1">
      <c r="A9" s="381" t="s">
        <v>50</v>
      </c>
      <c r="B9" s="381"/>
      <c r="C9" s="219">
        <f>'درآمد اوراق بهادار'!G13</f>
        <v>10561089293</v>
      </c>
      <c r="D9" s="218"/>
      <c r="E9" s="253">
        <v>0</v>
      </c>
      <c r="F9" s="257"/>
      <c r="G9" s="253">
        <v>0</v>
      </c>
      <c r="H9" s="218"/>
      <c r="I9" s="253">
        <f t="shared" si="0"/>
        <v>10561089293</v>
      </c>
      <c r="J9" s="257"/>
      <c r="K9" s="219">
        <f>'درآمد اوراق بهادار'!M13</f>
        <v>43250802241</v>
      </c>
      <c r="L9" s="218"/>
      <c r="M9" s="253">
        <v>0</v>
      </c>
      <c r="N9" s="257"/>
      <c r="O9" s="253">
        <v>0</v>
      </c>
      <c r="P9" s="218"/>
      <c r="Q9" s="253">
        <f t="shared" si="1"/>
        <v>43250802241</v>
      </c>
      <c r="R9" s="36">
        <v>130744897279</v>
      </c>
    </row>
    <row r="10" spans="1:18" ht="30" customHeight="1">
      <c r="A10" s="381" t="s">
        <v>146</v>
      </c>
      <c r="B10" s="381"/>
      <c r="C10" s="219">
        <v>0</v>
      </c>
      <c r="D10" s="218"/>
      <c r="E10" s="253">
        <f>'درآمد ناشی از تغییر قیمت اوراق'!I40</f>
        <v>12086497840</v>
      </c>
      <c r="F10" s="257"/>
      <c r="G10" s="253">
        <f>'درآمد ناشی از فروش'!I43</f>
        <v>0</v>
      </c>
      <c r="H10" s="218"/>
      <c r="I10" s="253">
        <f t="shared" si="0"/>
        <v>12086497840</v>
      </c>
      <c r="J10" s="257"/>
      <c r="K10" s="219">
        <v>0</v>
      </c>
      <c r="L10" s="218"/>
      <c r="M10" s="253">
        <f>'درآمد ناشی از تغییر قیمت اوراق'!Q40</f>
        <v>33181175752</v>
      </c>
      <c r="N10" s="257"/>
      <c r="O10" s="253">
        <f>'درآمد ناشی از فروش'!Q43</f>
        <v>309580208</v>
      </c>
      <c r="P10" s="218"/>
      <c r="Q10" s="253">
        <f t="shared" si="1"/>
        <v>33490755960</v>
      </c>
      <c r="R10" s="36">
        <v>9251035768</v>
      </c>
    </row>
    <row r="11" spans="1:18" ht="30" customHeight="1">
      <c r="A11" s="381" t="s">
        <v>230</v>
      </c>
      <c r="B11" s="381"/>
      <c r="C11" s="219">
        <v>0</v>
      </c>
      <c r="D11" s="218"/>
      <c r="E11" s="253">
        <v>0</v>
      </c>
      <c r="F11" s="257"/>
      <c r="G11" s="253">
        <v>0</v>
      </c>
      <c r="H11" s="218"/>
      <c r="I11" s="253">
        <f t="shared" si="0"/>
        <v>0</v>
      </c>
      <c r="J11" s="257"/>
      <c r="K11" s="219">
        <v>0</v>
      </c>
      <c r="L11" s="218"/>
      <c r="M11" s="253">
        <v>0</v>
      </c>
      <c r="N11" s="257"/>
      <c r="O11" s="253">
        <v>201112293</v>
      </c>
      <c r="P11" s="218"/>
      <c r="Q11" s="253">
        <f t="shared" si="1"/>
        <v>201112293</v>
      </c>
      <c r="R11" s="36">
        <v>2252879222</v>
      </c>
    </row>
    <row r="12" spans="1:18" ht="30" customHeight="1">
      <c r="A12" s="381" t="s">
        <v>45</v>
      </c>
      <c r="B12" s="381"/>
      <c r="C12" s="219">
        <v>0</v>
      </c>
      <c r="D12" s="218"/>
      <c r="E12" s="253">
        <f>'درآمد ناشی از تغییر قیمت اوراق'!I32</f>
        <v>2893428118</v>
      </c>
      <c r="F12" s="257"/>
      <c r="G12" s="253">
        <f>'درآمد ناشی از فروش'!I34</f>
        <v>4054022</v>
      </c>
      <c r="H12" s="218"/>
      <c r="I12" s="253">
        <f t="shared" si="0"/>
        <v>2897482140</v>
      </c>
      <c r="J12" s="257"/>
      <c r="K12" s="219">
        <v>0</v>
      </c>
      <c r="L12" s="218"/>
      <c r="M12" s="253">
        <f>'درآمد ناشی از تغییر قیمت اوراق'!Q32</f>
        <v>8545456984</v>
      </c>
      <c r="N12" s="257"/>
      <c r="O12" s="253">
        <f>'درآمد ناشی از فروش'!Q34</f>
        <v>3347746</v>
      </c>
      <c r="P12" s="218"/>
      <c r="Q12" s="253">
        <f t="shared" si="1"/>
        <v>8548804730</v>
      </c>
      <c r="R12" s="36">
        <v>2307954944</v>
      </c>
    </row>
    <row r="13" spans="1:18" ht="30" customHeight="1">
      <c r="A13" s="381" t="s">
        <v>42</v>
      </c>
      <c r="B13" s="381"/>
      <c r="C13" s="219">
        <v>0</v>
      </c>
      <c r="D13" s="218"/>
      <c r="E13" s="253">
        <f>'درآمد ناشی از تغییر قیمت اوراق'!I31</f>
        <v>3358732559</v>
      </c>
      <c r="F13" s="257"/>
      <c r="G13" s="253">
        <f>'درآمد ناشی از فروش'!I38</f>
        <v>0</v>
      </c>
      <c r="H13" s="218"/>
      <c r="I13" s="253">
        <f t="shared" si="0"/>
        <v>3358732559</v>
      </c>
      <c r="J13" s="257"/>
      <c r="K13" s="219">
        <v>0</v>
      </c>
      <c r="L13" s="218"/>
      <c r="M13" s="253">
        <f>'درآمد ناشی از تغییر قیمت اوراق'!Q31</f>
        <v>12511846198</v>
      </c>
      <c r="N13" s="257"/>
      <c r="O13" s="253">
        <f>'درآمد ناشی از فروش'!Q38</f>
        <v>11586167</v>
      </c>
      <c r="P13" s="218"/>
      <c r="Q13" s="253">
        <f t="shared" si="1"/>
        <v>12523432365</v>
      </c>
      <c r="R13" s="36">
        <v>5727988726</v>
      </c>
    </row>
    <row r="14" spans="1:18" ht="30" customHeight="1">
      <c r="A14" s="381" t="s">
        <v>201</v>
      </c>
      <c r="B14" s="381"/>
      <c r="C14" s="219">
        <v>0</v>
      </c>
      <c r="D14" s="218"/>
      <c r="E14" s="253">
        <f>'درآمد ناشی از تغییر قیمت اوراق'!I37</f>
        <v>-116461037</v>
      </c>
      <c r="F14" s="257"/>
      <c r="G14" s="253">
        <f>'درآمد ناشی از فروش'!I33</f>
        <v>1157290560</v>
      </c>
      <c r="H14" s="218"/>
      <c r="I14" s="253">
        <f t="shared" si="0"/>
        <v>1040829523</v>
      </c>
      <c r="J14" s="257"/>
      <c r="K14" s="219">
        <v>0</v>
      </c>
      <c r="L14" s="218"/>
      <c r="M14" s="253">
        <f>'درآمد ناشی از تغییر قیمت اوراق'!Q37</f>
        <v>2740982435</v>
      </c>
      <c r="N14" s="257"/>
      <c r="O14" s="253">
        <f>'درآمد ناشی از فروش'!Q33</f>
        <v>6271194527</v>
      </c>
      <c r="P14" s="218"/>
      <c r="Q14" s="253">
        <f t="shared" si="1"/>
        <v>9012176962</v>
      </c>
      <c r="R14" s="36">
        <v>3958477520</v>
      </c>
    </row>
    <row r="15" spans="1:18" ht="30" customHeight="1">
      <c r="A15" s="381" t="s">
        <v>106</v>
      </c>
      <c r="B15" s="381"/>
      <c r="C15" s="219">
        <v>0</v>
      </c>
      <c r="D15" s="218"/>
      <c r="E15" s="253">
        <v>0</v>
      </c>
      <c r="F15" s="257"/>
      <c r="G15" s="253">
        <v>0</v>
      </c>
      <c r="H15" s="218"/>
      <c r="I15" s="253">
        <f t="shared" si="0"/>
        <v>0</v>
      </c>
      <c r="J15" s="257"/>
      <c r="K15" s="219">
        <v>5181150</v>
      </c>
      <c r="L15" s="218"/>
      <c r="M15" s="253">
        <v>0</v>
      </c>
      <c r="N15" s="257"/>
      <c r="O15" s="253">
        <v>68087658</v>
      </c>
      <c r="P15" s="218"/>
      <c r="Q15" s="253">
        <f t="shared" si="1"/>
        <v>73268808</v>
      </c>
      <c r="R15" s="36">
        <v>5372821719</v>
      </c>
    </row>
    <row r="16" spans="1:18" ht="30" customHeight="1">
      <c r="A16" s="381" t="s">
        <v>107</v>
      </c>
      <c r="B16" s="381"/>
      <c r="C16" s="219">
        <v>0</v>
      </c>
      <c r="D16" s="218"/>
      <c r="E16" s="253">
        <v>0</v>
      </c>
      <c r="F16" s="257"/>
      <c r="G16" s="253">
        <f>'درآمد ناشی از فروش'!I35</f>
        <v>449033178</v>
      </c>
      <c r="H16" s="218"/>
      <c r="I16" s="253">
        <f t="shared" si="0"/>
        <v>449033178</v>
      </c>
      <c r="J16" s="257"/>
      <c r="K16" s="219">
        <v>0</v>
      </c>
      <c r="L16" s="218"/>
      <c r="M16" s="253">
        <v>0</v>
      </c>
      <c r="N16" s="257"/>
      <c r="O16" s="253">
        <f>'درآمد ناشی از فروش'!Q35</f>
        <v>1890165242</v>
      </c>
      <c r="P16" s="218"/>
      <c r="Q16" s="253">
        <f t="shared" si="1"/>
        <v>1890165242</v>
      </c>
      <c r="R16" s="36">
        <v>507917930</v>
      </c>
    </row>
    <row r="17" spans="1:18" ht="30" customHeight="1">
      <c r="A17" s="381" t="s">
        <v>288</v>
      </c>
      <c r="B17" s="381"/>
      <c r="C17" s="219">
        <f>'درآمد اوراق بهادار'!G15</f>
        <v>9473350181</v>
      </c>
      <c r="D17" s="218"/>
      <c r="E17" s="253">
        <f>'درآمد ناشی از تغییر قیمت اوراق'!I42</f>
        <v>-50694144875</v>
      </c>
      <c r="F17" s="257"/>
      <c r="G17" s="253">
        <v>0</v>
      </c>
      <c r="H17" s="218"/>
      <c r="I17" s="253">
        <f t="shared" si="0"/>
        <v>-41220794694</v>
      </c>
      <c r="J17" s="257"/>
      <c r="K17" s="219">
        <f>'درآمد اوراق بهادار'!M15</f>
        <v>9473350181</v>
      </c>
      <c r="L17" s="218"/>
      <c r="M17" s="253">
        <f>'درآمد ناشی از تغییر قیمت اوراق'!Q42</f>
        <v>-50694144875</v>
      </c>
      <c r="N17" s="257"/>
      <c r="O17" s="253">
        <v>0</v>
      </c>
      <c r="P17" s="218"/>
      <c r="Q17" s="253">
        <f t="shared" si="1"/>
        <v>-41220794694</v>
      </c>
      <c r="R17" s="36"/>
    </row>
    <row r="18" spans="1:18" ht="30" customHeight="1">
      <c r="A18" s="381" t="s">
        <v>55</v>
      </c>
      <c r="B18" s="381"/>
      <c r="C18" s="219">
        <f>'درآمد اوراق بهادار'!G12</f>
        <v>1557215506</v>
      </c>
      <c r="D18" s="218"/>
      <c r="E18" s="253">
        <f>'درآمد ناشی از تغییر قیمت اوراق'!I29</f>
        <v>726618277</v>
      </c>
      <c r="F18" s="257"/>
      <c r="G18" s="253">
        <v>0</v>
      </c>
      <c r="H18" s="218"/>
      <c r="I18" s="253">
        <f t="shared" si="0"/>
        <v>2283833783</v>
      </c>
      <c r="J18" s="257"/>
      <c r="K18" s="219">
        <f>'درآمد اوراق بهادار'!M12</f>
        <v>6499003095</v>
      </c>
      <c r="L18" s="218"/>
      <c r="M18" s="253">
        <f>'درآمد ناشی از تغییر قیمت اوراق'!Q29</f>
        <v>2279586750</v>
      </c>
      <c r="N18" s="257"/>
      <c r="O18" s="253">
        <v>0</v>
      </c>
      <c r="P18" s="218"/>
      <c r="Q18" s="253">
        <f t="shared" si="1"/>
        <v>8778589845</v>
      </c>
      <c r="R18" s="36">
        <v>16962132172</v>
      </c>
    </row>
    <row r="19" spans="1:18" ht="30" customHeight="1">
      <c r="A19" s="381" t="s">
        <v>64</v>
      </c>
      <c r="B19" s="381"/>
      <c r="C19" s="219">
        <v>0</v>
      </c>
      <c r="D19" s="218"/>
      <c r="E19" s="253">
        <f>'درآمد ناشی از تغییر قیمت اوراق'!I34</f>
        <v>5996657586</v>
      </c>
      <c r="F19" s="257"/>
      <c r="G19" s="253">
        <f>'درآمد ناشی از فروش'!I41</f>
        <v>563323726</v>
      </c>
      <c r="H19" s="218"/>
      <c r="I19" s="253">
        <f t="shared" si="0"/>
        <v>6559981312</v>
      </c>
      <c r="J19" s="257"/>
      <c r="K19" s="219">
        <v>0</v>
      </c>
      <c r="L19" s="218"/>
      <c r="M19" s="253">
        <f>'درآمد ناشی از تغییر قیمت اوراق'!Q34</f>
        <v>21542939692</v>
      </c>
      <c r="N19" s="257"/>
      <c r="O19" s="253">
        <f>'درآمد ناشی از فروش'!Q41</f>
        <v>1550143948</v>
      </c>
      <c r="P19" s="218"/>
      <c r="Q19" s="253">
        <f t="shared" si="1"/>
        <v>23093083640</v>
      </c>
      <c r="R19" s="36">
        <v>6237880423</v>
      </c>
    </row>
    <row r="20" spans="1:18" ht="30" customHeight="1">
      <c r="A20" s="381" t="s">
        <v>164</v>
      </c>
      <c r="B20" s="381"/>
      <c r="C20" s="219">
        <v>0</v>
      </c>
      <c r="D20" s="218"/>
      <c r="E20" s="253">
        <f>'درآمد ناشی از تغییر قیمت اوراق'!I38</f>
        <v>2210008819</v>
      </c>
      <c r="F20" s="257"/>
      <c r="G20" s="253">
        <f>'درآمد ناشی از فروش'!I42</f>
        <v>27985177</v>
      </c>
      <c r="H20" s="218"/>
      <c r="I20" s="253">
        <f t="shared" si="0"/>
        <v>2237993996</v>
      </c>
      <c r="J20" s="257"/>
      <c r="K20" s="219">
        <v>0</v>
      </c>
      <c r="L20" s="218"/>
      <c r="M20" s="253">
        <f>'درآمد ناشی از تغییر قیمت اوراق'!Q38</f>
        <v>7200720007</v>
      </c>
      <c r="N20" s="257"/>
      <c r="O20" s="253">
        <f>'درآمد ناشی از فروش'!Q42</f>
        <v>4259808818</v>
      </c>
      <c r="P20" s="218"/>
      <c r="Q20" s="253">
        <f t="shared" si="1"/>
        <v>11460528825</v>
      </c>
      <c r="R20" s="36">
        <v>4385921064</v>
      </c>
    </row>
    <row r="21" spans="1:18" ht="30" customHeight="1">
      <c r="A21" s="381" t="s">
        <v>167</v>
      </c>
      <c r="B21" s="381"/>
      <c r="C21" s="219">
        <f>'درآمد اوراق بهادار'!G7</f>
        <v>12096104427</v>
      </c>
      <c r="D21" s="218"/>
      <c r="E21" s="253">
        <v>0</v>
      </c>
      <c r="F21" s="257"/>
      <c r="G21" s="253">
        <v>0</v>
      </c>
      <c r="H21" s="218"/>
      <c r="I21" s="253">
        <f t="shared" si="0"/>
        <v>12096104427</v>
      </c>
      <c r="J21" s="257"/>
      <c r="K21" s="219">
        <f>'درآمد اوراق بهادار'!M7</f>
        <v>47604023874</v>
      </c>
      <c r="L21" s="218"/>
      <c r="M21" s="253">
        <v>0</v>
      </c>
      <c r="N21" s="257"/>
      <c r="O21" s="253">
        <v>0</v>
      </c>
      <c r="P21" s="218"/>
      <c r="Q21" s="253">
        <f t="shared" si="1"/>
        <v>47604023874</v>
      </c>
      <c r="R21" s="36">
        <v>35008347530</v>
      </c>
    </row>
    <row r="22" spans="1:18" ht="30" customHeight="1">
      <c r="A22" s="381" t="s">
        <v>165</v>
      </c>
      <c r="B22" s="381"/>
      <c r="C22" s="219">
        <f>'درآمد اوراق بهادار'!G8</f>
        <v>14695862818</v>
      </c>
      <c r="D22" s="218"/>
      <c r="E22" s="253">
        <v>0</v>
      </c>
      <c r="F22" s="257"/>
      <c r="G22" s="253">
        <v>0</v>
      </c>
      <c r="H22" s="218"/>
      <c r="I22" s="253">
        <f t="shared" si="0"/>
        <v>14695862818</v>
      </c>
      <c r="J22" s="257"/>
      <c r="K22" s="219">
        <f>'درآمد اوراق بهادار'!M8</f>
        <v>58606340177</v>
      </c>
      <c r="L22" s="218"/>
      <c r="M22" s="253">
        <v>0</v>
      </c>
      <c r="N22" s="257"/>
      <c r="O22" s="253">
        <v>0</v>
      </c>
      <c r="P22" s="218"/>
      <c r="Q22" s="253">
        <f t="shared" si="1"/>
        <v>58606340177</v>
      </c>
      <c r="R22" s="36">
        <v>46406913359</v>
      </c>
    </row>
    <row r="23" spans="1:18" ht="30" customHeight="1">
      <c r="A23" s="381" t="s">
        <v>47</v>
      </c>
      <c r="B23" s="381"/>
      <c r="C23" s="219">
        <f>'درآمد اوراق بهادار'!G9</f>
        <v>15134966288</v>
      </c>
      <c r="D23" s="218"/>
      <c r="E23" s="253">
        <f>'درآمد ناشی از تغییر قیمت اوراق'!I39</f>
        <v>-48991118750</v>
      </c>
      <c r="F23" s="257"/>
      <c r="G23" s="253">
        <v>0</v>
      </c>
      <c r="H23" s="218"/>
      <c r="I23" s="253">
        <f t="shared" si="0"/>
        <v>-33856152462</v>
      </c>
      <c r="J23" s="257"/>
      <c r="K23" s="219">
        <f>'درآمد اوراق بهادار'!M9</f>
        <v>58704951641</v>
      </c>
      <c r="L23" s="218"/>
      <c r="M23" s="253">
        <f>'درآمد ناشی از تغییر قیمت اوراق'!Q39</f>
        <v>-48991118750</v>
      </c>
      <c r="N23" s="257"/>
      <c r="O23" s="253">
        <v>0</v>
      </c>
      <c r="P23" s="218"/>
      <c r="Q23" s="253">
        <f t="shared" si="1"/>
        <v>9713832891</v>
      </c>
      <c r="R23" s="36">
        <v>161374645600</v>
      </c>
    </row>
    <row r="24" spans="1:18" ht="30" customHeight="1">
      <c r="A24" s="381" t="s">
        <v>61</v>
      </c>
      <c r="B24" s="381"/>
      <c r="C24" s="219">
        <f>'درآمد اوراق بهادار'!G10</f>
        <v>8108182988</v>
      </c>
      <c r="D24" s="218"/>
      <c r="E24" s="253">
        <v>0</v>
      </c>
      <c r="F24" s="257"/>
      <c r="G24" s="253">
        <v>0</v>
      </c>
      <c r="H24" s="218"/>
      <c r="I24" s="253">
        <f t="shared" si="0"/>
        <v>8108182988</v>
      </c>
      <c r="J24" s="257"/>
      <c r="K24" s="219">
        <f>'درآمد اوراق بهادار'!M10</f>
        <v>25606482917</v>
      </c>
      <c r="L24" s="218"/>
      <c r="M24" s="253">
        <v>0</v>
      </c>
      <c r="N24" s="257"/>
      <c r="O24" s="253">
        <v>0</v>
      </c>
      <c r="P24" s="218"/>
      <c r="Q24" s="253">
        <f t="shared" si="1"/>
        <v>25606482917</v>
      </c>
      <c r="R24" s="36">
        <v>56361067307</v>
      </c>
    </row>
    <row r="25" spans="1:18" ht="30" customHeight="1">
      <c r="A25" s="381" t="s">
        <v>59</v>
      </c>
      <c r="B25" s="381"/>
      <c r="C25" s="219">
        <f>'درآمد اوراق بهادار'!G11</f>
        <v>691958425</v>
      </c>
      <c r="D25" s="218"/>
      <c r="E25" s="253">
        <f>'درآمد ناشی از تغییر قیمت اوراق'!I30</f>
        <v>911795108</v>
      </c>
      <c r="F25" s="257"/>
      <c r="G25" s="253">
        <f>'درآمد ناشی از فروش'!I46</f>
        <v>0</v>
      </c>
      <c r="H25" s="218"/>
      <c r="I25" s="253">
        <f t="shared" si="0"/>
        <v>1603753533</v>
      </c>
      <c r="J25" s="257"/>
      <c r="K25" s="219">
        <f>'درآمد اوراق بهادار'!M11</f>
        <v>3881554505</v>
      </c>
      <c r="L25" s="218"/>
      <c r="M25" s="253">
        <f>'درآمد ناشی از تغییر قیمت اوراق'!Q30</f>
        <v>766718008</v>
      </c>
      <c r="N25" s="257"/>
      <c r="O25" s="253">
        <f>'درآمد ناشی از فروش'!Q46</f>
        <v>304944719</v>
      </c>
      <c r="P25" s="218"/>
      <c r="Q25" s="253">
        <f t="shared" si="1"/>
        <v>4953217232</v>
      </c>
      <c r="R25" s="36">
        <v>18809023283</v>
      </c>
    </row>
    <row r="26" spans="1:18" ht="30" customHeight="1">
      <c r="A26" s="381" t="s">
        <v>40</v>
      </c>
      <c r="B26" s="381"/>
      <c r="C26" s="219">
        <v>0</v>
      </c>
      <c r="D26" s="218"/>
      <c r="E26" s="253">
        <f>'درآمد ناشی از تغییر قیمت اوراق'!I35</f>
        <v>13633111196</v>
      </c>
      <c r="F26" s="257"/>
      <c r="G26" s="253">
        <f>'درآمد ناشی از فروش'!I40</f>
        <v>0</v>
      </c>
      <c r="H26" s="218"/>
      <c r="I26" s="253">
        <f t="shared" si="0"/>
        <v>13633111196</v>
      </c>
      <c r="J26" s="257"/>
      <c r="K26" s="219">
        <v>0</v>
      </c>
      <c r="L26" s="218"/>
      <c r="M26" s="253">
        <f>'درآمد ناشی از تغییر قیمت اوراق'!Q35</f>
        <v>34162742329</v>
      </c>
      <c r="N26" s="257"/>
      <c r="O26" s="253">
        <f>'درآمد ناشی از فروش'!Q40</f>
        <v>662530595</v>
      </c>
      <c r="P26" s="218"/>
      <c r="Q26" s="253">
        <f t="shared" si="1"/>
        <v>34825272924</v>
      </c>
      <c r="R26" s="36">
        <v>10108691348</v>
      </c>
    </row>
    <row r="27" spans="1:18" ht="30" customHeight="1">
      <c r="A27" s="381" t="s">
        <v>36</v>
      </c>
      <c r="B27" s="381"/>
      <c r="C27" s="219">
        <v>0</v>
      </c>
      <c r="D27" s="218"/>
      <c r="E27" s="253">
        <f>'درآمد ناشی از تغییر قیمت اوراق'!I36</f>
        <v>12512617341</v>
      </c>
      <c r="F27" s="257"/>
      <c r="G27" s="253">
        <f>'درآمد ناشی از فروش'!I39</f>
        <v>262617602</v>
      </c>
      <c r="H27" s="218"/>
      <c r="I27" s="253">
        <f t="shared" si="0"/>
        <v>12775234943</v>
      </c>
      <c r="J27" s="257"/>
      <c r="K27" s="219">
        <v>0</v>
      </c>
      <c r="L27" s="218"/>
      <c r="M27" s="253">
        <f>'درآمد ناشی از تغییر قیمت اوراق'!Q36</f>
        <v>33368258550</v>
      </c>
      <c r="N27" s="257"/>
      <c r="O27" s="253">
        <f>'درآمد ناشی از فروش'!Q39</f>
        <v>836371341</v>
      </c>
      <c r="P27" s="218"/>
      <c r="Q27" s="253">
        <f t="shared" si="1"/>
        <v>34204629891</v>
      </c>
      <c r="R27" s="36">
        <v>2439780297</v>
      </c>
    </row>
    <row r="28" spans="1:18" s="22" customFormat="1" ht="30" customHeight="1" thickBot="1">
      <c r="A28" s="11" t="s">
        <v>12</v>
      </c>
      <c r="B28" s="11"/>
      <c r="C28" s="220">
        <f>SUM(C7:C27)</f>
        <v>97568361223</v>
      </c>
      <c r="D28" s="221"/>
      <c r="E28" s="256">
        <f>SUM(E7:E27)</f>
        <v>-16353268253</v>
      </c>
      <c r="F28" s="258"/>
      <c r="G28" s="254">
        <f>SUM(G7:G27)</f>
        <v>2464304265</v>
      </c>
      <c r="H28" s="221"/>
      <c r="I28" s="254">
        <f>SUM(I7:I27)</f>
        <v>83679397235</v>
      </c>
      <c r="J28" s="258"/>
      <c r="K28" s="254">
        <f>SUM(K7:K27)</f>
        <v>334410405896</v>
      </c>
      <c r="L28" s="221"/>
      <c r="M28" s="256">
        <f>SUM(M7:M27)</f>
        <v>51495284634</v>
      </c>
      <c r="N28" s="221"/>
      <c r="O28" s="254">
        <f>SUM(O7:O27)</f>
        <v>24180021343</v>
      </c>
      <c r="P28" s="221"/>
      <c r="Q28" s="220">
        <f>SUM(Q7:Q27)</f>
        <v>410085711873</v>
      </c>
    </row>
  </sheetData>
  <mergeCells count="25">
    <mergeCell ref="A26:B26"/>
    <mergeCell ref="A27:B27"/>
    <mergeCell ref="A24:B24"/>
    <mergeCell ref="A25:B25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23:B23"/>
    <mergeCell ref="A17:B17"/>
    <mergeCell ref="A9:B9"/>
    <mergeCell ref="A10:B10"/>
    <mergeCell ref="A11:B11"/>
    <mergeCell ref="A12:B12"/>
    <mergeCell ref="A1:Q1"/>
    <mergeCell ref="A2:Q2"/>
    <mergeCell ref="A3:Q3"/>
    <mergeCell ref="C5:I5"/>
    <mergeCell ref="K5:Q5"/>
    <mergeCell ref="A4:Q4"/>
  </mergeCells>
  <pageMargins left="0.39" right="0.39" top="0.39" bottom="0.39" header="0" footer="0"/>
  <pageSetup scale="71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8" tint="-0.249977111117893"/>
    <pageSetUpPr fitToPage="1"/>
  </sheetPr>
  <dimension ref="A1:M50"/>
  <sheetViews>
    <sheetView rightToLeft="1" view="pageBreakPreview" zoomScale="112" zoomScaleNormal="100" zoomScaleSheetLayoutView="112" workbookViewId="0">
      <selection activeCell="G1" sqref="G1"/>
    </sheetView>
  </sheetViews>
  <sheetFormatPr defaultRowHeight="30" customHeight="1"/>
  <cols>
    <col min="1" max="1" width="6.5703125" style="12" bestFit="1" customWidth="1"/>
    <col min="2" max="2" width="51.28515625" style="12" customWidth="1"/>
    <col min="3" max="3" width="1.140625" style="12" customWidth="1"/>
    <col min="4" max="4" width="19.5703125" style="62" customWidth="1"/>
    <col min="5" max="5" width="1.28515625" style="14" customWidth="1"/>
    <col min="6" max="6" width="26" style="14" customWidth="1"/>
    <col min="7" max="7" width="1.28515625" style="12" customWidth="1"/>
    <col min="8" max="8" width="0.28515625" style="12" customWidth="1"/>
    <col min="9" max="11" width="9.140625" style="12"/>
    <col min="12" max="12" width="65.28515625" style="68" customWidth="1"/>
    <col min="13" max="13" width="15.42578125" style="68" customWidth="1"/>
    <col min="14" max="16384" width="9.140625" style="12"/>
  </cols>
  <sheetData>
    <row r="1" spans="1:13" ht="30" customHeight="1">
      <c r="A1" s="343" t="s">
        <v>0</v>
      </c>
      <c r="B1" s="343"/>
      <c r="C1" s="343"/>
      <c r="D1" s="343"/>
      <c r="E1" s="343"/>
      <c r="F1" s="343"/>
      <c r="G1" s="18"/>
      <c r="L1" s="63"/>
      <c r="M1" s="63"/>
    </row>
    <row r="2" spans="1:13" ht="30" customHeight="1">
      <c r="A2" s="343" t="s">
        <v>88</v>
      </c>
      <c r="B2" s="343"/>
      <c r="C2" s="343"/>
      <c r="D2" s="343"/>
      <c r="E2" s="343"/>
      <c r="F2" s="343"/>
      <c r="G2" s="18"/>
      <c r="L2" s="64"/>
      <c r="M2" s="65"/>
    </row>
    <row r="3" spans="1:13" ht="30" customHeight="1">
      <c r="A3" s="343" t="s">
        <v>283</v>
      </c>
      <c r="B3" s="343"/>
      <c r="C3" s="343"/>
      <c r="D3" s="343"/>
      <c r="E3" s="343"/>
      <c r="F3" s="343"/>
      <c r="G3" s="18"/>
      <c r="L3" s="66"/>
      <c r="M3" s="67"/>
    </row>
    <row r="4" spans="1:13" s="13" customFormat="1" ht="30" customHeight="1">
      <c r="A4" s="342" t="s">
        <v>160</v>
      </c>
      <c r="B4" s="342"/>
      <c r="C4" s="342"/>
      <c r="D4" s="342"/>
      <c r="E4" s="342"/>
      <c r="F4" s="342"/>
      <c r="G4" s="16"/>
      <c r="L4" s="66"/>
      <c r="M4" s="67"/>
    </row>
    <row r="5" spans="1:13" ht="34.5" customHeight="1">
      <c r="D5" s="60" t="s">
        <v>99</v>
      </c>
      <c r="F5" s="5" t="str">
        <f>'درآمد سرمایه گذاری در سهام'!$M$5</f>
        <v>از ابتدای سال مالی تا پایان ماه</v>
      </c>
      <c r="G5" s="18"/>
      <c r="L5" s="66"/>
      <c r="M5" s="67"/>
    </row>
    <row r="6" spans="1:13" ht="29.25" customHeight="1">
      <c r="A6" s="344" t="s">
        <v>116</v>
      </c>
      <c r="B6" s="344"/>
      <c r="D6" s="61" t="s">
        <v>132</v>
      </c>
      <c r="F6" s="6" t="s">
        <v>162</v>
      </c>
      <c r="L6" s="66"/>
      <c r="M6" s="67"/>
    </row>
    <row r="7" spans="1:13" ht="30" customHeight="1">
      <c r="A7" s="382" t="s">
        <v>77</v>
      </c>
      <c r="B7" s="382"/>
      <c r="D7" s="183">
        <v>0</v>
      </c>
      <c r="E7" s="183"/>
      <c r="F7" s="183">
        <v>144380</v>
      </c>
      <c r="G7" s="32"/>
      <c r="L7" s="66"/>
      <c r="M7" s="67"/>
    </row>
    <row r="8" spans="1:13" ht="30" customHeight="1">
      <c r="A8" s="381" t="s">
        <v>183</v>
      </c>
      <c r="B8" s="381"/>
      <c r="D8" s="183">
        <v>45174</v>
      </c>
      <c r="E8" s="183"/>
      <c r="F8" s="183">
        <v>48183</v>
      </c>
      <c r="G8" s="32"/>
      <c r="L8" s="66"/>
      <c r="M8" s="67"/>
    </row>
    <row r="9" spans="1:13" ht="30" customHeight="1">
      <c r="A9" s="381" t="s">
        <v>78</v>
      </c>
      <c r="B9" s="381"/>
      <c r="D9" s="183">
        <v>1204414786</v>
      </c>
      <c r="E9" s="183"/>
      <c r="F9" s="183">
        <v>7388722660</v>
      </c>
      <c r="G9" s="32"/>
      <c r="L9" s="66"/>
      <c r="M9" s="67"/>
    </row>
    <row r="10" spans="1:13" ht="30" customHeight="1">
      <c r="A10" s="395" t="s">
        <v>234</v>
      </c>
      <c r="B10" s="395"/>
      <c r="D10" s="183">
        <v>7583</v>
      </c>
      <c r="E10" s="183"/>
      <c r="F10" s="183">
        <v>29380</v>
      </c>
      <c r="G10" s="32"/>
      <c r="L10" s="66"/>
      <c r="M10" s="67"/>
    </row>
    <row r="11" spans="1:13" ht="30" customHeight="1">
      <c r="A11" s="381" t="s">
        <v>80</v>
      </c>
      <c r="B11" s="381"/>
      <c r="D11" s="183">
        <v>51758</v>
      </c>
      <c r="E11" s="183"/>
      <c r="F11" s="183">
        <v>200482</v>
      </c>
      <c r="G11" s="32"/>
      <c r="L11" s="66"/>
      <c r="M11" s="67"/>
    </row>
    <row r="12" spans="1:13" ht="30" customHeight="1">
      <c r="A12" s="381" t="s">
        <v>81</v>
      </c>
      <c r="B12" s="381"/>
      <c r="D12" s="183">
        <v>31512</v>
      </c>
      <c r="E12" s="183"/>
      <c r="F12" s="183">
        <v>124606</v>
      </c>
      <c r="G12" s="32"/>
      <c r="L12" s="66"/>
      <c r="M12" s="67"/>
    </row>
    <row r="13" spans="1:13" ht="30" customHeight="1">
      <c r="A13" s="381" t="s">
        <v>82</v>
      </c>
      <c r="B13" s="381"/>
      <c r="D13" s="183">
        <v>8053</v>
      </c>
      <c r="E13" s="183"/>
      <c r="F13" s="183">
        <v>31226</v>
      </c>
      <c r="G13" s="32"/>
      <c r="L13" s="66"/>
      <c r="M13" s="67"/>
    </row>
    <row r="14" spans="1:13" ht="30" customHeight="1">
      <c r="A14" s="381" t="s">
        <v>83</v>
      </c>
      <c r="B14" s="381"/>
      <c r="D14" s="183">
        <v>83190</v>
      </c>
      <c r="E14" s="183"/>
      <c r="F14" s="183">
        <v>322148</v>
      </c>
      <c r="G14" s="32"/>
      <c r="L14" s="66"/>
      <c r="M14" s="67"/>
    </row>
    <row r="15" spans="1:13" ht="30" customHeight="1">
      <c r="A15" s="381" t="s">
        <v>84</v>
      </c>
      <c r="B15" s="381"/>
      <c r="D15" s="183">
        <v>9902</v>
      </c>
      <c r="E15" s="183"/>
      <c r="F15" s="183">
        <v>38399</v>
      </c>
      <c r="G15" s="32"/>
    </row>
    <row r="16" spans="1:13" ht="30" customHeight="1">
      <c r="A16" s="381" t="s">
        <v>85</v>
      </c>
      <c r="B16" s="381"/>
      <c r="D16" s="183">
        <v>30574</v>
      </c>
      <c r="E16" s="183"/>
      <c r="F16" s="183">
        <v>118994</v>
      </c>
      <c r="G16" s="32"/>
    </row>
    <row r="17" spans="1:6" ht="30" customHeight="1">
      <c r="A17" s="381" t="s">
        <v>86</v>
      </c>
      <c r="B17" s="381"/>
      <c r="D17" s="183">
        <v>48816</v>
      </c>
      <c r="E17" s="183"/>
      <c r="F17" s="183">
        <v>115336</v>
      </c>
    </row>
    <row r="18" spans="1:6" ht="30" customHeight="1">
      <c r="A18" s="381" t="s">
        <v>87</v>
      </c>
      <c r="B18" s="381"/>
      <c r="D18" s="183">
        <v>75767</v>
      </c>
      <c r="E18" s="183"/>
      <c r="F18" s="183">
        <v>175225</v>
      </c>
    </row>
    <row r="19" spans="1:6" ht="30" customHeight="1">
      <c r="A19" s="381" t="s">
        <v>185</v>
      </c>
      <c r="B19" s="381"/>
      <c r="D19" s="183">
        <v>105068483</v>
      </c>
      <c r="E19" s="183"/>
      <c r="F19" s="183">
        <v>4974058975</v>
      </c>
    </row>
    <row r="20" spans="1:6" ht="30" customHeight="1">
      <c r="A20" s="381" t="s">
        <v>186</v>
      </c>
      <c r="B20" s="381"/>
      <c r="D20" s="183">
        <v>55578</v>
      </c>
      <c r="E20" s="183"/>
      <c r="F20" s="183">
        <v>172920</v>
      </c>
    </row>
    <row r="21" spans="1:6" ht="30" customHeight="1">
      <c r="A21" s="381" t="s">
        <v>187</v>
      </c>
      <c r="B21" s="381"/>
      <c r="D21" s="183">
        <v>218219178</v>
      </c>
      <c r="E21" s="183"/>
      <c r="F21" s="183">
        <v>4167529144</v>
      </c>
    </row>
    <row r="22" spans="1:6" ht="30" customHeight="1">
      <c r="A22" s="381" t="s">
        <v>188</v>
      </c>
      <c r="B22" s="381"/>
      <c r="D22" s="183">
        <v>727397256</v>
      </c>
      <c r="E22" s="183"/>
      <c r="F22" s="183">
        <v>14879127310</v>
      </c>
    </row>
    <row r="23" spans="1:6" ht="30" customHeight="1">
      <c r="A23" s="381" t="s">
        <v>189</v>
      </c>
      <c r="B23" s="381"/>
      <c r="D23" s="242">
        <v>0</v>
      </c>
      <c r="E23" s="183"/>
      <c r="F23" s="183">
        <v>26373333317</v>
      </c>
    </row>
    <row r="24" spans="1:6" ht="30" customHeight="1">
      <c r="A24" s="381" t="s">
        <v>190</v>
      </c>
      <c r="B24" s="381"/>
      <c r="D24" s="183">
        <v>294191768</v>
      </c>
      <c r="E24" s="183"/>
      <c r="F24" s="183">
        <v>3943420568</v>
      </c>
    </row>
    <row r="25" spans="1:6" ht="30" customHeight="1">
      <c r="A25" s="381" t="s">
        <v>191</v>
      </c>
      <c r="B25" s="381"/>
      <c r="D25" s="183">
        <v>315205475</v>
      </c>
      <c r="E25" s="183"/>
      <c r="F25" s="183">
        <v>10053871110</v>
      </c>
    </row>
    <row r="26" spans="1:6" ht="30" customHeight="1">
      <c r="A26" s="381" t="s">
        <v>192</v>
      </c>
      <c r="B26" s="381"/>
      <c r="D26" s="242">
        <v>0</v>
      </c>
      <c r="E26" s="183"/>
      <c r="F26" s="183">
        <v>7789499355</v>
      </c>
    </row>
    <row r="27" spans="1:6" ht="30" customHeight="1">
      <c r="A27" s="381" t="s">
        <v>193</v>
      </c>
      <c r="B27" s="381"/>
      <c r="D27" s="183">
        <v>773630138</v>
      </c>
      <c r="E27" s="183"/>
      <c r="F27" s="183">
        <v>8378017555</v>
      </c>
    </row>
    <row r="28" spans="1:6" ht="30" customHeight="1">
      <c r="A28" s="381" t="s">
        <v>194</v>
      </c>
      <c r="B28" s="381"/>
      <c r="D28" s="183">
        <v>0</v>
      </c>
      <c r="E28" s="183"/>
      <c r="F28" s="183">
        <v>8576502695</v>
      </c>
    </row>
    <row r="29" spans="1:6" ht="30" customHeight="1">
      <c r="A29" s="381" t="s">
        <v>195</v>
      </c>
      <c r="B29" s="381"/>
      <c r="D29" s="183">
        <v>107123290</v>
      </c>
      <c r="E29" s="23"/>
      <c r="F29" s="183">
        <v>6987983305</v>
      </c>
    </row>
    <row r="30" spans="1:6" ht="30" customHeight="1">
      <c r="A30" s="395" t="s">
        <v>257</v>
      </c>
      <c r="B30" s="395"/>
      <c r="D30" s="183">
        <v>73771</v>
      </c>
      <c r="E30" s="23"/>
      <c r="F30" s="183">
        <v>226270</v>
      </c>
    </row>
    <row r="31" spans="1:6" ht="30" customHeight="1">
      <c r="A31" s="395" t="s">
        <v>212</v>
      </c>
      <c r="B31" s="395"/>
      <c r="D31" s="183">
        <v>1729766266</v>
      </c>
      <c r="E31" s="23"/>
      <c r="F31" s="183">
        <v>31804648568</v>
      </c>
    </row>
    <row r="32" spans="1:6" ht="30" customHeight="1">
      <c r="A32" s="395" t="s">
        <v>213</v>
      </c>
      <c r="B32" s="395"/>
      <c r="D32" s="183">
        <v>727397256</v>
      </c>
      <c r="E32" s="23"/>
      <c r="F32" s="183">
        <v>11739714752</v>
      </c>
    </row>
    <row r="33" spans="1:6" ht="30" customHeight="1">
      <c r="A33" s="395" t="s">
        <v>214</v>
      </c>
      <c r="B33" s="395"/>
      <c r="D33" s="183">
        <v>2101369855</v>
      </c>
      <c r="E33" s="23"/>
      <c r="F33" s="183">
        <v>18017336552</v>
      </c>
    </row>
    <row r="34" spans="1:6" ht="30" customHeight="1">
      <c r="A34" s="395" t="s">
        <v>215</v>
      </c>
      <c r="B34" s="395"/>
      <c r="D34" s="183">
        <v>2011675123</v>
      </c>
      <c r="E34" s="23"/>
      <c r="F34" s="183">
        <v>8302169548</v>
      </c>
    </row>
    <row r="35" spans="1:6" ht="30" customHeight="1">
      <c r="A35" s="395" t="s">
        <v>216</v>
      </c>
      <c r="B35" s="395"/>
      <c r="D35" s="183">
        <v>12484931506</v>
      </c>
      <c r="E35" s="23"/>
      <c r="F35" s="183">
        <v>49537741989</v>
      </c>
    </row>
    <row r="36" spans="1:6" ht="30" customHeight="1">
      <c r="A36" s="395" t="s">
        <v>252</v>
      </c>
      <c r="B36" s="395"/>
      <c r="D36" s="183">
        <v>11072602735</v>
      </c>
      <c r="E36" s="23"/>
      <c r="F36" s="183">
        <v>38574829682</v>
      </c>
    </row>
    <row r="37" spans="1:6" ht="30" customHeight="1">
      <c r="A37" s="395" t="s">
        <v>253</v>
      </c>
      <c r="B37" s="395"/>
      <c r="D37" s="183">
        <v>12527397259</v>
      </c>
      <c r="E37" s="23"/>
      <c r="F37" s="183">
        <v>36741952974</v>
      </c>
    </row>
    <row r="38" spans="1:6" ht="30" customHeight="1">
      <c r="A38" s="395" t="s">
        <v>254</v>
      </c>
      <c r="B38" s="395"/>
      <c r="D38" s="183">
        <v>6263698614</v>
      </c>
      <c r="E38" s="23"/>
      <c r="F38" s="183">
        <v>16960457332</v>
      </c>
    </row>
    <row r="39" spans="1:6" ht="30" customHeight="1">
      <c r="A39" s="395" t="s">
        <v>255</v>
      </c>
      <c r="B39" s="395"/>
      <c r="D39" s="183">
        <v>6087345190</v>
      </c>
      <c r="E39" s="23"/>
      <c r="F39" s="183">
        <v>16784103908</v>
      </c>
    </row>
    <row r="40" spans="1:6" ht="30" customHeight="1">
      <c r="A40" s="395" t="s">
        <v>250</v>
      </c>
      <c r="B40" s="395"/>
      <c r="D40" s="183">
        <v>43913</v>
      </c>
      <c r="E40" s="23"/>
      <c r="F40" s="183">
        <v>85831</v>
      </c>
    </row>
    <row r="41" spans="1:6" ht="30" customHeight="1">
      <c r="A41" s="395" t="s">
        <v>258</v>
      </c>
      <c r="B41" s="395"/>
      <c r="D41" s="183">
        <v>18658897248</v>
      </c>
      <c r="E41" s="23"/>
      <c r="F41" s="183">
        <v>52721424624</v>
      </c>
    </row>
    <row r="42" spans="1:6" ht="30" customHeight="1">
      <c r="A42" s="395" t="s">
        <v>256</v>
      </c>
      <c r="B42" s="395"/>
      <c r="D42" s="183">
        <v>0</v>
      </c>
      <c r="E42" s="23"/>
      <c r="F42" s="183">
        <v>1711757956</v>
      </c>
    </row>
    <row r="43" spans="1:6" ht="30" customHeight="1">
      <c r="A43" s="395" t="s">
        <v>279</v>
      </c>
      <c r="B43" s="395"/>
      <c r="D43" s="183">
        <v>7771232861</v>
      </c>
      <c r="E43" s="23"/>
      <c r="F43" s="183">
        <v>9275342447</v>
      </c>
    </row>
    <row r="44" spans="1:6" ht="30" customHeight="1">
      <c r="A44" s="395" t="s">
        <v>280</v>
      </c>
      <c r="B44" s="395"/>
      <c r="D44" s="183">
        <v>7771232861</v>
      </c>
      <c r="E44" s="23"/>
      <c r="F44" s="183">
        <v>8773972585</v>
      </c>
    </row>
    <row r="45" spans="1:6" ht="30" customHeight="1">
      <c r="A45" s="381" t="s">
        <v>293</v>
      </c>
      <c r="B45" s="381"/>
      <c r="D45" s="183">
        <v>8601369861</v>
      </c>
      <c r="E45" s="23"/>
      <c r="F45" s="183">
        <v>8601369861</v>
      </c>
    </row>
    <row r="46" spans="1:6" ht="30" customHeight="1">
      <c r="A46" s="381" t="s">
        <v>294</v>
      </c>
      <c r="B46" s="381"/>
      <c r="D46" s="183">
        <v>1286849312</v>
      </c>
      <c r="E46" s="23"/>
      <c r="F46" s="183">
        <v>1286849312</v>
      </c>
    </row>
    <row r="47" spans="1:6" ht="30" customHeight="1">
      <c r="A47" s="381" t="s">
        <v>295</v>
      </c>
      <c r="B47" s="381"/>
      <c r="D47" s="183">
        <v>1310684928</v>
      </c>
      <c r="E47" s="23"/>
      <c r="F47" s="183">
        <v>1310684928</v>
      </c>
    </row>
    <row r="48" spans="1:6" ht="30" customHeight="1">
      <c r="A48" s="381" t="s">
        <v>296</v>
      </c>
      <c r="B48" s="381"/>
      <c r="D48" s="183">
        <v>1336986296</v>
      </c>
      <c r="E48" s="23"/>
      <c r="F48" s="183">
        <v>1336986296</v>
      </c>
    </row>
    <row r="49" spans="1:6" ht="30" customHeight="1" thickBot="1">
      <c r="A49" s="396" t="s">
        <v>12</v>
      </c>
      <c r="B49" s="396"/>
      <c r="C49" s="315"/>
      <c r="D49" s="316">
        <f>SUM(D7:D48)</f>
        <v>105489253136</v>
      </c>
      <c r="E49" s="317"/>
      <c r="F49" s="316">
        <f>SUM(F7:F48)</f>
        <v>416995242688</v>
      </c>
    </row>
    <row r="50" spans="1:6" ht="30" customHeight="1" thickTop="1"/>
  </sheetData>
  <mergeCells count="48">
    <mergeCell ref="A45:B45"/>
    <mergeCell ref="A46:B46"/>
    <mergeCell ref="A47:B47"/>
    <mergeCell ref="A30:B30"/>
    <mergeCell ref="A49:B49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1:B41"/>
    <mergeCell ref="A42:B42"/>
    <mergeCell ref="A40:B40"/>
    <mergeCell ref="A43:B43"/>
    <mergeCell ref="A48:B48"/>
    <mergeCell ref="A44:B44"/>
    <mergeCell ref="A26:B26"/>
    <mergeCell ref="A27:B27"/>
    <mergeCell ref="A25:B25"/>
    <mergeCell ref="A28:B28"/>
    <mergeCell ref="A29:B29"/>
    <mergeCell ref="A1:F1"/>
    <mergeCell ref="A2:F2"/>
    <mergeCell ref="A3:F3"/>
    <mergeCell ref="A7:B7"/>
    <mergeCell ref="A8:B8"/>
    <mergeCell ref="A4:F4"/>
    <mergeCell ref="A6:B6"/>
    <mergeCell ref="A9:B9"/>
    <mergeCell ref="A10:B10"/>
    <mergeCell ref="A11:B11"/>
    <mergeCell ref="A12:B12"/>
    <mergeCell ref="A13:B13"/>
    <mergeCell ref="A14:B14"/>
    <mergeCell ref="A23:B23"/>
    <mergeCell ref="A24:B24"/>
    <mergeCell ref="A17:B17"/>
    <mergeCell ref="A16:B16"/>
    <mergeCell ref="A15:B15"/>
    <mergeCell ref="A18:B18"/>
    <mergeCell ref="A19:B19"/>
    <mergeCell ref="A20:B20"/>
    <mergeCell ref="A21:B21"/>
    <mergeCell ref="A22:B22"/>
  </mergeCells>
  <pageMargins left="0.39" right="0.39" top="0.39" bottom="0.39" header="0" footer="0"/>
  <pageSetup scale="94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-0.249977111117893"/>
    <pageSetUpPr fitToPage="1"/>
  </sheetPr>
  <dimension ref="A1:I11"/>
  <sheetViews>
    <sheetView rightToLeft="1" view="pageBreakPreview" zoomScaleNormal="100" zoomScaleSheetLayoutView="100" workbookViewId="0">
      <selection activeCell="H1" sqref="H1"/>
    </sheetView>
  </sheetViews>
  <sheetFormatPr defaultRowHeight="30" customHeight="1"/>
  <cols>
    <col min="1" max="1" width="5.140625" style="12" customWidth="1"/>
    <col min="2" max="2" width="41.5703125" style="12" customWidth="1"/>
    <col min="3" max="3" width="1.28515625" style="12" customWidth="1"/>
    <col min="4" max="4" width="19.42578125" style="54" customWidth="1"/>
    <col min="5" max="5" width="1.28515625" style="54" customWidth="1"/>
    <col min="6" max="6" width="24.7109375" style="54" customWidth="1"/>
    <col min="7" max="7" width="0.28515625" style="12" customWidth="1"/>
    <col min="8" max="8" width="12.7109375" style="12" bestFit="1" customWidth="1"/>
    <col min="9" max="9" width="14.140625" style="12" bestFit="1" customWidth="1"/>
    <col min="10" max="16384" width="9.140625" style="12"/>
  </cols>
  <sheetData>
    <row r="1" spans="1:9" ht="30" customHeight="1">
      <c r="A1" s="343" t="s">
        <v>0</v>
      </c>
      <c r="B1" s="343"/>
      <c r="C1" s="343"/>
      <c r="D1" s="343"/>
      <c r="E1" s="343"/>
      <c r="F1" s="343"/>
    </row>
    <row r="2" spans="1:9" ht="30" customHeight="1">
      <c r="A2" s="343" t="s">
        <v>88</v>
      </c>
      <c r="B2" s="343"/>
      <c r="C2" s="343"/>
      <c r="D2" s="343"/>
      <c r="E2" s="343"/>
      <c r="F2" s="343"/>
    </row>
    <row r="3" spans="1:9" ht="30" customHeight="1">
      <c r="A3" s="343" t="s">
        <v>283</v>
      </c>
      <c r="B3" s="343"/>
      <c r="C3" s="343"/>
      <c r="D3" s="343"/>
      <c r="E3" s="343"/>
      <c r="F3" s="343"/>
    </row>
    <row r="4" spans="1:9" s="13" customFormat="1" ht="30" customHeight="1">
      <c r="A4" s="342" t="s">
        <v>161</v>
      </c>
      <c r="B4" s="342"/>
      <c r="C4" s="342"/>
      <c r="D4" s="342"/>
      <c r="E4" s="342"/>
      <c r="F4" s="342"/>
    </row>
    <row r="5" spans="1:9" ht="30" customHeight="1">
      <c r="D5" s="60" t="s">
        <v>99</v>
      </c>
      <c r="F5" s="83" t="str">
        <f>'درآمد سرمایه گذاری در سهام'!$M$5</f>
        <v>از ابتدای سال مالی تا پایان ماه</v>
      </c>
    </row>
    <row r="6" spans="1:9" ht="30" customHeight="1">
      <c r="A6" s="344" t="s">
        <v>98</v>
      </c>
      <c r="B6" s="344"/>
      <c r="D6" s="81" t="s">
        <v>74</v>
      </c>
      <c r="F6" s="81" t="s">
        <v>74</v>
      </c>
    </row>
    <row r="7" spans="1:9" ht="30" customHeight="1">
      <c r="A7" s="382" t="s">
        <v>98</v>
      </c>
      <c r="B7" s="382"/>
      <c r="D7" s="42">
        <v>2</v>
      </c>
      <c r="E7" s="77"/>
      <c r="F7" s="42">
        <v>115738305</v>
      </c>
    </row>
    <row r="8" spans="1:9" ht="30" customHeight="1">
      <c r="A8" s="381" t="s">
        <v>117</v>
      </c>
      <c r="B8" s="381"/>
      <c r="D8" s="42">
        <v>0</v>
      </c>
      <c r="E8" s="77"/>
      <c r="F8" s="42">
        <v>291903990</v>
      </c>
      <c r="I8" s="99"/>
    </row>
    <row r="9" spans="1:9" ht="30" customHeight="1">
      <c r="A9" s="381" t="s">
        <v>118</v>
      </c>
      <c r="B9" s="381"/>
      <c r="D9" s="84">
        <v>70540048</v>
      </c>
      <c r="E9" s="77"/>
      <c r="F9" s="84">
        <v>186048773</v>
      </c>
      <c r="H9" s="99"/>
    </row>
    <row r="10" spans="1:9" ht="30" customHeight="1" thickBot="1">
      <c r="A10" s="343" t="s">
        <v>12</v>
      </c>
      <c r="B10" s="343"/>
      <c r="D10" s="91">
        <f>SUM(D7:D9)</f>
        <v>70540050</v>
      </c>
      <c r="E10" s="92"/>
      <c r="F10" s="91">
        <f>SUM(F7:F9)</f>
        <v>593691068</v>
      </c>
      <c r="H10" s="99"/>
    </row>
    <row r="11" spans="1:9" ht="30" customHeight="1" thickTop="1">
      <c r="H11" s="99"/>
    </row>
  </sheetData>
  <mergeCells count="9">
    <mergeCell ref="A7:B7"/>
    <mergeCell ref="A8:B8"/>
    <mergeCell ref="A9:B9"/>
    <mergeCell ref="A10:B10"/>
    <mergeCell ref="A1:F1"/>
    <mergeCell ref="A2:F2"/>
    <mergeCell ref="A3:F3"/>
    <mergeCell ref="A6:B6"/>
    <mergeCell ref="A4:F4"/>
  </mergeCells>
  <printOptions horizontalCentered="1"/>
  <pageMargins left="0.39" right="0.39" top="0.39" bottom="0.39" header="0" footer="0"/>
  <pageSetup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8" tint="-0.249977111117893"/>
    <pageSetUpPr fitToPage="1"/>
  </sheetPr>
  <dimension ref="A1:Z18"/>
  <sheetViews>
    <sheetView rightToLeft="1" view="pageBreakPreview" zoomScaleNormal="100" zoomScaleSheetLayoutView="100" workbookViewId="0">
      <selection activeCell="U1" sqref="U1"/>
    </sheetView>
  </sheetViews>
  <sheetFormatPr defaultRowHeight="30" customHeight="1"/>
  <cols>
    <col min="1" max="1" width="39" style="12" customWidth="1"/>
    <col min="2" max="2" width="0.7109375" style="12" customWidth="1"/>
    <col min="3" max="3" width="16.85546875" style="12" customWidth="1"/>
    <col min="4" max="4" width="0.5703125" style="12" customWidth="1"/>
    <col min="5" max="5" width="20.7109375" style="12" customWidth="1"/>
    <col min="6" max="6" width="0.5703125" style="12" customWidth="1"/>
    <col min="7" max="7" width="15.5703125" style="12" customWidth="1"/>
    <col min="8" max="8" width="0.5703125" style="12" customWidth="1"/>
    <col min="9" max="9" width="15" style="12" bestFit="1" customWidth="1"/>
    <col min="10" max="10" width="0.7109375" style="12" customWidth="1"/>
    <col min="11" max="11" width="13.42578125" style="12" bestFit="1" customWidth="1"/>
    <col min="12" max="12" width="0.7109375" style="12" customWidth="1"/>
    <col min="13" max="13" width="15.5703125" style="12" customWidth="1"/>
    <col min="14" max="14" width="0.5703125" style="12" customWidth="1"/>
    <col min="15" max="15" width="17.28515625" style="12" bestFit="1" customWidth="1"/>
    <col min="16" max="16" width="0.5703125" style="12" customWidth="1"/>
    <col min="17" max="17" width="20.85546875" style="12" bestFit="1" customWidth="1"/>
    <col min="18" max="18" width="0.7109375" style="12" customWidth="1"/>
    <col min="19" max="19" width="17.28515625" style="12" bestFit="1" customWidth="1"/>
    <col min="20" max="20" width="0.28515625" style="12" customWidth="1"/>
    <col min="21" max="21" width="9.140625" style="12"/>
    <col min="22" max="23" width="11" style="12" customWidth="1"/>
    <col min="24" max="24" width="13.42578125" style="12" customWidth="1"/>
    <col min="25" max="25" width="15.85546875" style="12" customWidth="1"/>
    <col min="26" max="26" width="13.28515625" style="12" customWidth="1"/>
    <col min="27" max="16384" width="9.140625" style="12"/>
  </cols>
  <sheetData>
    <row r="1" spans="1:26" ht="30" customHeight="1">
      <c r="A1" s="343" t="s">
        <v>0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</row>
    <row r="2" spans="1:26" ht="30" customHeight="1">
      <c r="A2" s="343" t="s">
        <v>88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</row>
    <row r="3" spans="1:26" ht="30" customHeight="1">
      <c r="A3" s="343" t="s">
        <v>283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343"/>
      <c r="S3" s="343"/>
    </row>
    <row r="4" spans="1:26" s="13" customFormat="1" ht="30" customHeight="1">
      <c r="A4" s="342" t="s">
        <v>101</v>
      </c>
      <c r="B4" s="342"/>
      <c r="C4" s="342"/>
      <c r="D4" s="342"/>
      <c r="E4" s="342"/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342"/>
      <c r="S4" s="342"/>
      <c r="U4" s="38"/>
      <c r="V4" s="38"/>
      <c r="W4" s="38"/>
      <c r="X4" s="38"/>
      <c r="Y4" s="38"/>
      <c r="Z4" s="38"/>
    </row>
    <row r="5" spans="1:26" ht="19.5" customHeight="1">
      <c r="A5" s="344" t="s">
        <v>13</v>
      </c>
      <c r="C5" s="344" t="s">
        <v>119</v>
      </c>
      <c r="D5" s="344"/>
      <c r="E5" s="344"/>
      <c r="F5" s="344"/>
      <c r="G5" s="344"/>
      <c r="I5" s="344" t="s">
        <v>99</v>
      </c>
      <c r="J5" s="344"/>
      <c r="K5" s="344"/>
      <c r="L5" s="344"/>
      <c r="M5" s="344"/>
      <c r="O5" s="344" t="str">
        <f>'درآمد سرمایه گذاری در سهام'!$M$5</f>
        <v>از ابتدای سال مالی تا پایان ماه</v>
      </c>
      <c r="P5" s="344"/>
      <c r="Q5" s="344"/>
      <c r="R5" s="344"/>
      <c r="S5" s="344"/>
      <c r="U5" s="39"/>
      <c r="V5" s="39"/>
      <c r="W5" s="40"/>
      <c r="X5" s="39"/>
      <c r="Y5" s="40"/>
      <c r="Z5" s="39"/>
    </row>
    <row r="6" spans="1:26" ht="38.25" customHeight="1">
      <c r="A6" s="344"/>
      <c r="C6" s="6" t="s">
        <v>120</v>
      </c>
      <c r="D6" s="26"/>
      <c r="E6" s="6" t="s">
        <v>121</v>
      </c>
      <c r="F6" s="26"/>
      <c r="G6" s="6" t="s">
        <v>122</v>
      </c>
      <c r="I6" s="6" t="s">
        <v>123</v>
      </c>
      <c r="J6" s="26"/>
      <c r="K6" s="6" t="s">
        <v>124</v>
      </c>
      <c r="L6" s="26"/>
      <c r="M6" s="6" t="s">
        <v>125</v>
      </c>
      <c r="O6" s="6" t="s">
        <v>123</v>
      </c>
      <c r="P6" s="26"/>
      <c r="Q6" s="6" t="s">
        <v>124</v>
      </c>
      <c r="R6" s="26"/>
      <c r="S6" s="6" t="s">
        <v>125</v>
      </c>
      <c r="U6" s="39"/>
      <c r="V6" s="39"/>
      <c r="W6" s="40"/>
      <c r="X6" s="39"/>
      <c r="Y6" s="40"/>
      <c r="Z6" s="39"/>
    </row>
    <row r="7" spans="1:26" ht="30" customHeight="1">
      <c r="A7" s="3"/>
      <c r="C7" s="177"/>
      <c r="D7" s="14"/>
      <c r="E7" s="177"/>
      <c r="F7" s="14"/>
      <c r="G7" s="177"/>
      <c r="H7" s="14"/>
      <c r="I7" s="184"/>
      <c r="J7" s="14"/>
      <c r="K7" s="225"/>
      <c r="L7" s="14"/>
      <c r="M7" s="184"/>
      <c r="N7" s="14"/>
      <c r="O7" s="184"/>
      <c r="P7" s="182"/>
      <c r="Q7" s="225"/>
      <c r="R7" s="182"/>
      <c r="S7" s="184"/>
      <c r="U7" s="39"/>
      <c r="V7" s="39"/>
      <c r="W7" s="40"/>
      <c r="X7" s="39"/>
      <c r="Y7" s="40"/>
      <c r="Z7" s="40"/>
    </row>
    <row r="8" spans="1:26" ht="30" customHeight="1">
      <c r="A8" s="11" t="s">
        <v>12</v>
      </c>
      <c r="C8" s="7"/>
      <c r="D8" s="14"/>
      <c r="E8" s="7"/>
      <c r="F8" s="14"/>
      <c r="G8" s="179"/>
      <c r="H8" s="25"/>
      <c r="I8" s="180">
        <f>SUM(I7:I7)</f>
        <v>0</v>
      </c>
      <c r="J8" s="25"/>
      <c r="K8" s="205">
        <f>SUM(K7:K7)</f>
        <v>0</v>
      </c>
      <c r="L8" s="25"/>
      <c r="M8" s="180">
        <f>SUM(M7:M7)</f>
        <v>0</v>
      </c>
      <c r="N8" s="25"/>
      <c r="O8" s="180">
        <f>SUM(O7:O7)</f>
        <v>0</v>
      </c>
      <c r="P8" s="25"/>
      <c r="Q8" s="205">
        <f>SUM(Q7:Q7)</f>
        <v>0</v>
      </c>
      <c r="R8" s="25"/>
      <c r="S8" s="180">
        <f>SUM(S7:S7)</f>
        <v>0</v>
      </c>
    </row>
    <row r="11" spans="1:26" ht="30" customHeight="1">
      <c r="H11" s="38"/>
    </row>
    <row r="12" spans="1:26" ht="30" customHeight="1">
      <c r="H12" s="52"/>
    </row>
    <row r="13" spans="1:26" ht="30" customHeight="1">
      <c r="H13" s="52">
        <v>203431000</v>
      </c>
    </row>
    <row r="14" spans="1:26" ht="30" customHeight="1">
      <c r="H14" s="52">
        <v>167236435</v>
      </c>
    </row>
    <row r="15" spans="1:26" ht="30" customHeight="1">
      <c r="H15" s="52">
        <v>10388205829</v>
      </c>
    </row>
    <row r="16" spans="1:26" ht="30" customHeight="1">
      <c r="H16" s="52">
        <v>420000</v>
      </c>
    </row>
    <row r="17" spans="1:8" ht="30" customHeight="1">
      <c r="H17" s="37"/>
    </row>
    <row r="18" spans="1:8" ht="30" customHeight="1">
      <c r="A18" s="37"/>
      <c r="B18" s="37"/>
      <c r="C18" s="37"/>
      <c r="D18" s="37"/>
      <c r="E18" s="37"/>
      <c r="F18" s="37"/>
      <c r="G18" s="37"/>
      <c r="H18" s="37"/>
    </row>
  </sheetData>
  <mergeCells count="8">
    <mergeCell ref="A1:S1"/>
    <mergeCell ref="A2:S2"/>
    <mergeCell ref="A3:S3"/>
    <mergeCell ref="A4:S4"/>
    <mergeCell ref="A5:A6"/>
    <mergeCell ref="C5:G5"/>
    <mergeCell ref="I5:M5"/>
    <mergeCell ref="O5:S5"/>
  </mergeCells>
  <pageMargins left="0.39" right="0.39" top="0.39" bottom="0.39" header="0" footer="0"/>
  <pageSetup scale="67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8" tint="-0.249977111117893"/>
    <pageSetUpPr fitToPage="1"/>
  </sheetPr>
  <dimension ref="A1:U19"/>
  <sheetViews>
    <sheetView rightToLeft="1" view="pageBreakPreview" zoomScaleNormal="100" zoomScaleSheetLayoutView="100" workbookViewId="0">
      <selection activeCell="S1" sqref="S1"/>
    </sheetView>
  </sheetViews>
  <sheetFormatPr defaultRowHeight="30" customHeight="1"/>
  <cols>
    <col min="1" max="1" width="39.5703125" style="12" bestFit="1" customWidth="1"/>
    <col min="2" max="2" width="0.7109375" style="12" customWidth="1"/>
    <col min="3" max="3" width="11" style="12" bestFit="1" customWidth="1"/>
    <col min="4" max="4" width="1.28515625" style="12" customWidth="1"/>
    <col min="5" max="5" width="11.85546875" style="12" customWidth="1"/>
    <col min="6" max="6" width="0.42578125" style="12" customWidth="1"/>
    <col min="7" max="7" width="17.42578125" style="12" customWidth="1"/>
    <col min="8" max="8" width="0.42578125" style="12" customWidth="1"/>
    <col min="9" max="9" width="10.85546875" style="12" customWidth="1"/>
    <col min="10" max="10" width="0.42578125" style="12" customWidth="1"/>
    <col min="11" max="11" width="17.5703125" style="12" customWidth="1"/>
    <col min="12" max="12" width="0.42578125" style="12" customWidth="1"/>
    <col min="13" max="13" width="18.5703125" style="12" bestFit="1" customWidth="1"/>
    <col min="14" max="14" width="0.5703125" style="12" customWidth="1"/>
    <col min="15" max="15" width="10.85546875" style="12" bestFit="1" customWidth="1"/>
    <col min="16" max="16" width="0.5703125" style="12" customWidth="1"/>
    <col min="17" max="17" width="20" style="12" customWidth="1"/>
    <col min="18" max="18" width="0.28515625" style="12" customWidth="1"/>
    <col min="19" max="19" width="9.140625" style="12"/>
    <col min="20" max="20" width="43.42578125" style="131" customWidth="1"/>
    <col min="21" max="21" width="13.5703125" style="131" bestFit="1" customWidth="1"/>
    <col min="22" max="16384" width="9.140625" style="12"/>
  </cols>
  <sheetData>
    <row r="1" spans="1:21" ht="30" customHeight="1">
      <c r="A1" s="343" t="s">
        <v>0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T1" s="128"/>
      <c r="U1" s="128"/>
    </row>
    <row r="2" spans="1:21" ht="30" customHeight="1">
      <c r="A2" s="343" t="s">
        <v>88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T2" s="129"/>
      <c r="U2" s="129"/>
    </row>
    <row r="3" spans="1:21" ht="30" customHeight="1">
      <c r="A3" s="343" t="s">
        <v>283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T3" s="67"/>
      <c r="U3" s="67"/>
    </row>
    <row r="4" spans="1:21" s="13" customFormat="1" ht="30" customHeight="1">
      <c r="A4" s="342" t="s">
        <v>127</v>
      </c>
      <c r="B4" s="342"/>
      <c r="C4" s="342"/>
      <c r="D4" s="342"/>
      <c r="E4" s="342"/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  <c r="T4" s="67"/>
      <c r="U4" s="67"/>
    </row>
    <row r="5" spans="1:21" ht="25.5" customHeight="1">
      <c r="A5" s="344" t="s">
        <v>89</v>
      </c>
      <c r="G5" s="344" t="s">
        <v>99</v>
      </c>
      <c r="H5" s="344"/>
      <c r="I5" s="344"/>
      <c r="J5" s="344"/>
      <c r="K5" s="344"/>
      <c r="M5" s="344" t="str">
        <f>'درآمد سرمایه گذاری در سهام'!$M$5</f>
        <v>از ابتدای سال مالی تا پایان ماه</v>
      </c>
      <c r="N5" s="344"/>
      <c r="O5" s="344"/>
      <c r="P5" s="344"/>
      <c r="Q5" s="344"/>
      <c r="T5" s="67"/>
      <c r="U5" s="67"/>
    </row>
    <row r="6" spans="1:21" ht="38.25" customHeight="1">
      <c r="A6" s="344"/>
      <c r="C6" s="363" t="s">
        <v>34</v>
      </c>
      <c r="D6" s="363"/>
      <c r="E6" s="5" t="s">
        <v>128</v>
      </c>
      <c r="G6" s="6" t="s">
        <v>129</v>
      </c>
      <c r="H6" s="26"/>
      <c r="I6" s="6" t="s">
        <v>124</v>
      </c>
      <c r="J6" s="26"/>
      <c r="K6" s="6" t="s">
        <v>130</v>
      </c>
      <c r="M6" s="6" t="s">
        <v>129</v>
      </c>
      <c r="N6" s="26"/>
      <c r="O6" s="6" t="s">
        <v>124</v>
      </c>
      <c r="P6" s="26"/>
      <c r="Q6" s="6" t="s">
        <v>130</v>
      </c>
      <c r="T6" s="67"/>
      <c r="U6" s="67"/>
    </row>
    <row r="7" spans="1:21" ht="27.95" customHeight="1">
      <c r="A7" s="3" t="s">
        <v>167</v>
      </c>
      <c r="C7" s="51" t="s">
        <v>168</v>
      </c>
      <c r="D7" s="237"/>
      <c r="E7" s="238">
        <v>20.5</v>
      </c>
      <c r="F7" s="32"/>
      <c r="G7" s="208">
        <v>12096104427</v>
      </c>
      <c r="H7" s="206"/>
      <c r="I7" s="207">
        <v>0</v>
      </c>
      <c r="J7" s="206"/>
      <c r="K7" s="208">
        <f t="shared" ref="K7:K17" si="0">G7</f>
        <v>12096104427</v>
      </c>
      <c r="L7" s="206"/>
      <c r="M7" s="208">
        <v>47604023874</v>
      </c>
      <c r="N7" s="206"/>
      <c r="O7" s="207">
        <v>0</v>
      </c>
      <c r="P7" s="206"/>
      <c r="Q7" s="208">
        <f>M7</f>
        <v>47604023874</v>
      </c>
      <c r="T7" s="67"/>
      <c r="U7" s="67"/>
    </row>
    <row r="8" spans="1:21" ht="27.95" customHeight="1">
      <c r="A8" s="4" t="s">
        <v>165</v>
      </c>
      <c r="C8" s="41" t="s">
        <v>166</v>
      </c>
      <c r="D8" s="23"/>
      <c r="E8" s="239">
        <v>23</v>
      </c>
      <c r="F8" s="32"/>
      <c r="G8" s="208">
        <v>14695862818</v>
      </c>
      <c r="H8" s="206"/>
      <c r="I8" s="208">
        <v>0</v>
      </c>
      <c r="J8" s="206"/>
      <c r="K8" s="208">
        <f t="shared" si="0"/>
        <v>14695862818</v>
      </c>
      <c r="L8" s="206"/>
      <c r="M8" s="208">
        <v>58606340177</v>
      </c>
      <c r="N8" s="206"/>
      <c r="O8" s="208">
        <v>0</v>
      </c>
      <c r="P8" s="206"/>
      <c r="Q8" s="208">
        <f t="shared" ref="Q8:Q17" si="1">M8</f>
        <v>58606340177</v>
      </c>
      <c r="T8" s="67"/>
      <c r="U8" s="130"/>
    </row>
    <row r="9" spans="1:21" ht="27.95" customHeight="1">
      <c r="A9" s="4" t="s">
        <v>47</v>
      </c>
      <c r="C9" s="41" t="s">
        <v>49</v>
      </c>
      <c r="D9" s="23"/>
      <c r="E9" s="239">
        <v>23</v>
      </c>
      <c r="F9" s="32"/>
      <c r="G9" s="208">
        <v>15134966288</v>
      </c>
      <c r="H9" s="206"/>
      <c r="I9" s="208">
        <v>0</v>
      </c>
      <c r="J9" s="206"/>
      <c r="K9" s="208">
        <f t="shared" si="0"/>
        <v>15134966288</v>
      </c>
      <c r="L9" s="206"/>
      <c r="M9" s="208">
        <v>58704951641</v>
      </c>
      <c r="N9" s="206"/>
      <c r="O9" s="208">
        <v>0</v>
      </c>
      <c r="P9" s="206"/>
      <c r="Q9" s="208">
        <f t="shared" si="1"/>
        <v>58704951641</v>
      </c>
      <c r="T9" s="67"/>
      <c r="U9" s="67"/>
    </row>
    <row r="10" spans="1:21" ht="27.95" customHeight="1">
      <c r="A10" s="4" t="s">
        <v>61</v>
      </c>
      <c r="C10" s="41" t="s">
        <v>63</v>
      </c>
      <c r="D10" s="23"/>
      <c r="E10" s="239">
        <v>23</v>
      </c>
      <c r="F10" s="32"/>
      <c r="G10" s="208">
        <v>8108182988</v>
      </c>
      <c r="H10" s="206"/>
      <c r="I10" s="208">
        <v>0</v>
      </c>
      <c r="J10" s="206"/>
      <c r="K10" s="208">
        <f t="shared" si="0"/>
        <v>8108182988</v>
      </c>
      <c r="L10" s="206"/>
      <c r="M10" s="208">
        <v>25606482917</v>
      </c>
      <c r="N10" s="206"/>
      <c r="O10" s="208">
        <v>0</v>
      </c>
      <c r="P10" s="206"/>
      <c r="Q10" s="208">
        <f t="shared" si="1"/>
        <v>25606482917</v>
      </c>
      <c r="T10" s="67"/>
      <c r="U10" s="130"/>
    </row>
    <row r="11" spans="1:21" ht="27.95" customHeight="1">
      <c r="A11" s="4" t="s">
        <v>59</v>
      </c>
      <c r="C11" s="41" t="s">
        <v>60</v>
      </c>
      <c r="D11" s="23"/>
      <c r="E11" s="239">
        <v>20.5</v>
      </c>
      <c r="F11" s="32"/>
      <c r="G11" s="208">
        <v>691958425</v>
      </c>
      <c r="H11" s="206"/>
      <c r="I11" s="208">
        <v>0</v>
      </c>
      <c r="J11" s="206"/>
      <c r="K11" s="208">
        <f t="shared" si="0"/>
        <v>691958425</v>
      </c>
      <c r="L11" s="206"/>
      <c r="M11" s="208">
        <v>3881554505</v>
      </c>
      <c r="N11" s="206"/>
      <c r="O11" s="208">
        <v>0</v>
      </c>
      <c r="P11" s="206"/>
      <c r="Q11" s="208">
        <f t="shared" si="1"/>
        <v>3881554505</v>
      </c>
      <c r="T11" s="67"/>
      <c r="U11" s="130"/>
    </row>
    <row r="12" spans="1:21" ht="27.95" customHeight="1">
      <c r="A12" s="4" t="s">
        <v>55</v>
      </c>
      <c r="C12" s="41" t="s">
        <v>57</v>
      </c>
      <c r="D12" s="23"/>
      <c r="E12" s="239">
        <v>20.5</v>
      </c>
      <c r="F12" s="32"/>
      <c r="G12" s="208">
        <v>1557215506</v>
      </c>
      <c r="H12" s="206"/>
      <c r="I12" s="208">
        <v>0</v>
      </c>
      <c r="J12" s="206"/>
      <c r="K12" s="208">
        <f t="shared" si="0"/>
        <v>1557215506</v>
      </c>
      <c r="L12" s="206"/>
      <c r="M12" s="208">
        <v>6499003095</v>
      </c>
      <c r="N12" s="206"/>
      <c r="O12" s="208">
        <v>0</v>
      </c>
      <c r="P12" s="206"/>
      <c r="Q12" s="208">
        <f t="shared" si="1"/>
        <v>6499003095</v>
      </c>
      <c r="T12" s="67"/>
      <c r="U12" s="130"/>
    </row>
    <row r="13" spans="1:21" ht="27.95" customHeight="1">
      <c r="A13" s="4" t="s">
        <v>50</v>
      </c>
      <c r="C13" s="41" t="s">
        <v>52</v>
      </c>
      <c r="D13" s="23"/>
      <c r="E13" s="239">
        <v>23</v>
      </c>
      <c r="F13" s="32"/>
      <c r="G13" s="208">
        <v>10561089293</v>
      </c>
      <c r="H13" s="206"/>
      <c r="I13" s="208">
        <v>0</v>
      </c>
      <c r="J13" s="206"/>
      <c r="K13" s="208">
        <f t="shared" si="0"/>
        <v>10561089293</v>
      </c>
      <c r="L13" s="206"/>
      <c r="M13" s="208">
        <v>43250802241</v>
      </c>
      <c r="N13" s="206"/>
      <c r="O13" s="208">
        <v>0</v>
      </c>
      <c r="P13" s="206"/>
      <c r="Q13" s="208">
        <f t="shared" si="1"/>
        <v>43250802241</v>
      </c>
      <c r="T13" s="67"/>
      <c r="U13" s="130"/>
    </row>
    <row r="14" spans="1:21" ht="27.95" customHeight="1">
      <c r="A14" s="4" t="s">
        <v>53</v>
      </c>
      <c r="C14" s="41" t="s">
        <v>54</v>
      </c>
      <c r="D14" s="23"/>
      <c r="E14" s="239">
        <v>18</v>
      </c>
      <c r="F14" s="32"/>
      <c r="G14" s="208">
        <v>11573604422</v>
      </c>
      <c r="H14" s="206"/>
      <c r="I14" s="208">
        <v>0</v>
      </c>
      <c r="J14" s="206"/>
      <c r="K14" s="208">
        <f t="shared" si="0"/>
        <v>11573604422</v>
      </c>
      <c r="L14" s="206"/>
      <c r="M14" s="208">
        <v>23300660162</v>
      </c>
      <c r="N14" s="206"/>
      <c r="O14" s="208">
        <v>0</v>
      </c>
      <c r="P14" s="206"/>
      <c r="Q14" s="208">
        <f t="shared" si="1"/>
        <v>23300660162</v>
      </c>
      <c r="T14" s="67"/>
      <c r="U14" s="67"/>
    </row>
    <row r="15" spans="1:21" ht="27.95" customHeight="1">
      <c r="A15" s="4" t="s">
        <v>288</v>
      </c>
      <c r="C15" s="41" t="s">
        <v>290</v>
      </c>
      <c r="D15" s="23"/>
      <c r="E15" s="239">
        <v>23</v>
      </c>
      <c r="F15" s="32"/>
      <c r="G15" s="208">
        <v>9473350181</v>
      </c>
      <c r="H15" s="206"/>
      <c r="I15" s="208">
        <v>0</v>
      </c>
      <c r="J15" s="206"/>
      <c r="K15" s="208">
        <f t="shared" si="0"/>
        <v>9473350181</v>
      </c>
      <c r="L15" s="206"/>
      <c r="M15" s="208">
        <v>9473350181</v>
      </c>
      <c r="N15" s="206"/>
      <c r="O15" s="208">
        <v>0</v>
      </c>
      <c r="P15" s="206"/>
      <c r="Q15" s="208">
        <f t="shared" si="1"/>
        <v>9473350181</v>
      </c>
      <c r="T15" s="67"/>
      <c r="U15" s="67"/>
    </row>
    <row r="16" spans="1:21" ht="27.95" customHeight="1">
      <c r="A16" s="4" t="s">
        <v>240</v>
      </c>
      <c r="C16" s="41" t="s">
        <v>241</v>
      </c>
      <c r="D16" s="23"/>
      <c r="E16" s="239">
        <v>23</v>
      </c>
      <c r="F16" s="32"/>
      <c r="G16" s="208">
        <v>13676026875</v>
      </c>
      <c r="H16" s="206">
        <v>57478055953</v>
      </c>
      <c r="I16" s="208">
        <v>0</v>
      </c>
      <c r="J16" s="206"/>
      <c r="K16" s="208">
        <f t="shared" si="0"/>
        <v>13676026875</v>
      </c>
      <c r="L16" s="206"/>
      <c r="M16" s="208">
        <v>57478055953</v>
      </c>
      <c r="N16" s="206"/>
      <c r="O16" s="208">
        <v>0</v>
      </c>
      <c r="P16" s="206"/>
      <c r="Q16" s="208">
        <f t="shared" si="1"/>
        <v>57478055953</v>
      </c>
      <c r="T16" s="67"/>
      <c r="U16" s="67"/>
    </row>
    <row r="17" spans="1:21" ht="27.95" customHeight="1">
      <c r="A17" s="4" t="s">
        <v>106</v>
      </c>
      <c r="C17" s="41" t="s">
        <v>131</v>
      </c>
      <c r="D17" s="23"/>
      <c r="E17" s="239">
        <v>18</v>
      </c>
      <c r="F17" s="32"/>
      <c r="G17" s="208">
        <v>0</v>
      </c>
      <c r="H17" s="206"/>
      <c r="I17" s="208">
        <v>0</v>
      </c>
      <c r="J17" s="206"/>
      <c r="K17" s="208">
        <f t="shared" si="0"/>
        <v>0</v>
      </c>
      <c r="L17" s="206"/>
      <c r="M17" s="208">
        <v>5181150</v>
      </c>
      <c r="N17" s="206"/>
      <c r="O17" s="208">
        <v>0</v>
      </c>
      <c r="P17" s="206"/>
      <c r="Q17" s="208">
        <f t="shared" si="1"/>
        <v>5181150</v>
      </c>
      <c r="T17" s="67"/>
      <c r="U17" s="67"/>
    </row>
    <row r="18" spans="1:21" s="22" customFormat="1" ht="27.95" customHeight="1" thickBot="1">
      <c r="A18" s="11" t="s">
        <v>12</v>
      </c>
      <c r="C18" s="27"/>
      <c r="E18" s="29"/>
      <c r="F18" s="33"/>
      <c r="G18" s="211">
        <f>SUM(G7:G17)</f>
        <v>97568361223</v>
      </c>
      <c r="H18" s="210"/>
      <c r="I18" s="209">
        <v>0</v>
      </c>
      <c r="J18" s="210"/>
      <c r="K18" s="211">
        <f>SUM(K7:K17)</f>
        <v>97568361223</v>
      </c>
      <c r="L18" s="210"/>
      <c r="M18" s="212">
        <f>SUM(M7:M17)</f>
        <v>334410405896</v>
      </c>
      <c r="N18" s="210"/>
      <c r="O18" s="209">
        <v>0</v>
      </c>
      <c r="P18" s="210"/>
      <c r="Q18" s="211">
        <f>SUM(Q7:Q17)</f>
        <v>334410405896</v>
      </c>
      <c r="T18" s="131"/>
      <c r="U18" s="131"/>
    </row>
    <row r="19" spans="1:21" ht="30" customHeight="1" thickTop="1"/>
  </sheetData>
  <mergeCells count="8">
    <mergeCell ref="A1:Q1"/>
    <mergeCell ref="A2:Q2"/>
    <mergeCell ref="A3:Q3"/>
    <mergeCell ref="A5:A6"/>
    <mergeCell ref="G5:K5"/>
    <mergeCell ref="M5:Q5"/>
    <mergeCell ref="C6:D6"/>
    <mergeCell ref="A4:Q4"/>
  </mergeCells>
  <pageMargins left="0.39" right="0.39" top="0.39" bottom="0.39" header="0" footer="0"/>
  <pageSetup scale="81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8" tint="-0.249977111117893"/>
    <pageSetUpPr fitToPage="1"/>
  </sheetPr>
  <dimension ref="A1:U67"/>
  <sheetViews>
    <sheetView rightToLeft="1" view="pageBreakPreview" zoomScale="93" zoomScaleNormal="100" zoomScaleSheetLayoutView="93" workbookViewId="0">
      <selection activeCell="S1" sqref="S1"/>
    </sheetView>
  </sheetViews>
  <sheetFormatPr defaultRowHeight="30" customHeight="1"/>
  <cols>
    <col min="1" max="1" width="37.140625" style="12" bestFit="1" customWidth="1"/>
    <col min="2" max="2" width="1.28515625" style="12" customWidth="1"/>
    <col min="3" max="3" width="14.140625" style="12" bestFit="1" customWidth="1"/>
    <col min="4" max="4" width="1.28515625" style="12" customWidth="1"/>
    <col min="5" max="5" width="20.28515625" style="12" bestFit="1" customWidth="1"/>
    <col min="6" max="6" width="1.28515625" style="12" customWidth="1"/>
    <col min="7" max="7" width="20.140625" style="12" bestFit="1" customWidth="1"/>
    <col min="8" max="8" width="1.28515625" style="12" customWidth="1"/>
    <col min="9" max="9" width="18" style="251" customWidth="1"/>
    <col min="10" max="10" width="1.28515625" style="12" customWidth="1"/>
    <col min="11" max="11" width="13.140625" style="12" bestFit="1" customWidth="1"/>
    <col min="12" max="12" width="1.28515625" style="12" customWidth="1"/>
    <col min="13" max="13" width="20.28515625" style="12" bestFit="1" customWidth="1"/>
    <col min="14" max="14" width="1.28515625" style="12" customWidth="1"/>
    <col min="15" max="15" width="20.5703125" style="54" bestFit="1" customWidth="1"/>
    <col min="16" max="16" width="1.28515625" style="54" customWidth="1"/>
    <col min="17" max="17" width="20.28515625" style="247" customWidth="1"/>
    <col min="18" max="18" width="0.28515625" style="54" customWidth="1"/>
    <col min="19" max="19" width="9.140625" style="54"/>
    <col min="20" max="21" width="9.140625" style="12"/>
    <col min="22" max="22" width="26.7109375" style="12" customWidth="1"/>
    <col min="23" max="16384" width="9.140625" style="12"/>
  </cols>
  <sheetData>
    <row r="1" spans="1:21" ht="30" customHeight="1">
      <c r="A1" s="343" t="s">
        <v>0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</row>
    <row r="2" spans="1:21" ht="30" customHeight="1">
      <c r="A2" s="343" t="s">
        <v>88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</row>
    <row r="3" spans="1:21" ht="30" customHeight="1">
      <c r="A3" s="343" t="s">
        <v>283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</row>
    <row r="4" spans="1:21" s="13" customFormat="1" ht="30" customHeight="1">
      <c r="A4" s="342" t="s">
        <v>137</v>
      </c>
      <c r="B4" s="342"/>
      <c r="C4" s="342"/>
      <c r="D4" s="342"/>
      <c r="E4" s="342"/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88"/>
      <c r="S4" s="88"/>
    </row>
    <row r="5" spans="1:21" ht="32.25" customHeight="1">
      <c r="A5" s="344" t="s">
        <v>89</v>
      </c>
      <c r="C5" s="344" t="s">
        <v>99</v>
      </c>
      <c r="D5" s="344"/>
      <c r="E5" s="344"/>
      <c r="F5" s="344"/>
      <c r="G5" s="344"/>
      <c r="H5" s="344"/>
      <c r="I5" s="344"/>
      <c r="K5" s="344" t="str">
        <f>'درآمد سرمایه گذاری در سهام'!$M$5</f>
        <v>از ابتدای سال مالی تا پایان ماه</v>
      </c>
      <c r="L5" s="344"/>
      <c r="M5" s="344"/>
      <c r="N5" s="344"/>
      <c r="O5" s="344"/>
      <c r="P5" s="344"/>
      <c r="Q5" s="344"/>
    </row>
    <row r="6" spans="1:21" ht="38.25" customHeight="1">
      <c r="A6" s="344"/>
      <c r="C6" s="6" t="s">
        <v>6</v>
      </c>
      <c r="D6" s="26"/>
      <c r="E6" s="6" t="s">
        <v>8</v>
      </c>
      <c r="F6" s="26"/>
      <c r="G6" s="6" t="s">
        <v>135</v>
      </c>
      <c r="H6" s="26"/>
      <c r="I6" s="249" t="s">
        <v>138</v>
      </c>
      <c r="K6" s="6" t="s">
        <v>6</v>
      </c>
      <c r="L6" s="26"/>
      <c r="M6" s="6" t="s">
        <v>8</v>
      </c>
      <c r="N6" s="26"/>
      <c r="O6" s="61" t="s">
        <v>135</v>
      </c>
      <c r="P6" s="80"/>
      <c r="Q6" s="245" t="s">
        <v>138</v>
      </c>
      <c r="S6" s="12"/>
      <c r="T6" s="386"/>
      <c r="U6" s="386"/>
    </row>
    <row r="7" spans="1:21" s="54" customFormat="1" ht="30" customHeight="1">
      <c r="A7" s="279" t="s">
        <v>231</v>
      </c>
      <c r="B7" s="181"/>
      <c r="C7" s="286">
        <v>5234104</v>
      </c>
      <c r="D7" s="214"/>
      <c r="E7" s="286">
        <v>63006512220</v>
      </c>
      <c r="F7" s="214"/>
      <c r="G7" s="286">
        <v>55337199788</v>
      </c>
      <c r="H7" s="214"/>
      <c r="I7" s="287">
        <f>E7-G7</f>
        <v>7669312432</v>
      </c>
      <c r="J7" s="214"/>
      <c r="K7" s="286">
        <f>C7</f>
        <v>5234104</v>
      </c>
      <c r="L7" s="214"/>
      <c r="M7" s="286">
        <f>E7</f>
        <v>63006512220</v>
      </c>
      <c r="N7" s="214"/>
      <c r="O7" s="286">
        <v>51721218908</v>
      </c>
      <c r="P7" s="214"/>
      <c r="Q7" s="287">
        <f>M7-O7</f>
        <v>11285293312</v>
      </c>
    </row>
    <row r="8" spans="1:21" s="54" customFormat="1" ht="30" customHeight="1">
      <c r="A8" s="280" t="s">
        <v>181</v>
      </c>
      <c r="B8" s="181"/>
      <c r="C8" s="143">
        <v>512000</v>
      </c>
      <c r="D8" s="214"/>
      <c r="E8" s="143">
        <v>12927989760</v>
      </c>
      <c r="F8" s="214"/>
      <c r="G8" s="143">
        <v>12617063424</v>
      </c>
      <c r="H8" s="214"/>
      <c r="I8" s="285">
        <f t="shared" ref="I8:I42" si="0">E8-G8</f>
        <v>310926336</v>
      </c>
      <c r="J8" s="214"/>
      <c r="K8" s="143">
        <f t="shared" ref="K8:K42" si="1">C8</f>
        <v>512000</v>
      </c>
      <c r="L8" s="214"/>
      <c r="M8" s="143">
        <f t="shared" ref="M8:M40" si="2">E8</f>
        <v>12927989760</v>
      </c>
      <c r="N8" s="214"/>
      <c r="O8" s="143">
        <v>11480750400</v>
      </c>
      <c r="P8" s="214"/>
      <c r="Q8" s="285">
        <f t="shared" ref="Q8:Q42" si="3">M8-O8</f>
        <v>1447239360</v>
      </c>
    </row>
    <row r="9" spans="1:21" s="54" customFormat="1" ht="30" customHeight="1">
      <c r="A9" s="280" t="s">
        <v>222</v>
      </c>
      <c r="B9" s="181"/>
      <c r="C9" s="143">
        <v>4913374</v>
      </c>
      <c r="D9" s="214"/>
      <c r="E9" s="143">
        <v>66619846926</v>
      </c>
      <c r="F9" s="214"/>
      <c r="G9" s="143">
        <v>68371838480</v>
      </c>
      <c r="H9" s="214"/>
      <c r="I9" s="285">
        <f t="shared" si="0"/>
        <v>-1751991554</v>
      </c>
      <c r="J9" s="214"/>
      <c r="K9" s="143">
        <f t="shared" si="1"/>
        <v>4913374</v>
      </c>
      <c r="L9" s="214"/>
      <c r="M9" s="143">
        <f t="shared" si="2"/>
        <v>66619846926</v>
      </c>
      <c r="N9" s="214"/>
      <c r="O9" s="143">
        <v>61442392892</v>
      </c>
      <c r="P9" s="214"/>
      <c r="Q9" s="285">
        <f t="shared" si="3"/>
        <v>5177454034</v>
      </c>
    </row>
    <row r="10" spans="1:21" s="54" customFormat="1" ht="30" customHeight="1">
      <c r="A10" s="280" t="s">
        <v>238</v>
      </c>
      <c r="B10" s="181"/>
      <c r="C10" s="143">
        <v>12746183</v>
      </c>
      <c r="D10" s="214"/>
      <c r="E10" s="143">
        <v>217462367567</v>
      </c>
      <c r="F10" s="214"/>
      <c r="G10" s="143">
        <v>213169203881</v>
      </c>
      <c r="H10" s="214"/>
      <c r="I10" s="285">
        <f t="shared" si="0"/>
        <v>4293163686</v>
      </c>
      <c r="J10" s="214"/>
      <c r="K10" s="143">
        <f t="shared" si="1"/>
        <v>12746183</v>
      </c>
      <c r="L10" s="214"/>
      <c r="M10" s="143">
        <f t="shared" si="2"/>
        <v>217462367567</v>
      </c>
      <c r="N10" s="214"/>
      <c r="O10" s="143">
        <v>200827742343</v>
      </c>
      <c r="P10" s="214"/>
      <c r="Q10" s="285">
        <f>M10-O10</f>
        <v>16634625224</v>
      </c>
    </row>
    <row r="11" spans="1:21" s="54" customFormat="1" ht="30" customHeight="1">
      <c r="A11" s="280" t="s">
        <v>219</v>
      </c>
      <c r="B11" s="181"/>
      <c r="C11" s="143">
        <v>740000</v>
      </c>
      <c r="D11" s="214"/>
      <c r="E11" s="143">
        <v>14294604975</v>
      </c>
      <c r="F11" s="214"/>
      <c r="G11" s="143">
        <v>13658960700</v>
      </c>
      <c r="H11" s="214"/>
      <c r="I11" s="285">
        <f t="shared" si="0"/>
        <v>635644275</v>
      </c>
      <c r="J11" s="214"/>
      <c r="K11" s="143">
        <f t="shared" si="1"/>
        <v>740000</v>
      </c>
      <c r="L11" s="214"/>
      <c r="M11" s="143">
        <f t="shared" si="2"/>
        <v>14294604975</v>
      </c>
      <c r="N11" s="214"/>
      <c r="O11" s="143">
        <v>12284195175</v>
      </c>
      <c r="P11" s="214"/>
      <c r="Q11" s="285">
        <f t="shared" si="3"/>
        <v>2010409800</v>
      </c>
    </row>
    <row r="12" spans="1:21" s="54" customFormat="1" ht="30" customHeight="1">
      <c r="A12" s="280" t="s">
        <v>286</v>
      </c>
      <c r="B12" s="181"/>
      <c r="C12" s="143">
        <v>9000000</v>
      </c>
      <c r="D12" s="214"/>
      <c r="E12" s="143">
        <v>18537044400</v>
      </c>
      <c r="F12" s="214"/>
      <c r="G12" s="143">
        <v>18664932330</v>
      </c>
      <c r="H12" s="214"/>
      <c r="I12" s="285">
        <f t="shared" si="0"/>
        <v>-127887930</v>
      </c>
      <c r="J12" s="214"/>
      <c r="K12" s="143">
        <f t="shared" si="1"/>
        <v>9000000</v>
      </c>
      <c r="L12" s="214"/>
      <c r="M12" s="143">
        <f t="shared" si="2"/>
        <v>18537044400</v>
      </c>
      <c r="N12" s="214"/>
      <c r="O12" s="143">
        <v>18664932330</v>
      </c>
      <c r="P12" s="214"/>
      <c r="Q12" s="285">
        <f>M12-O12</f>
        <v>-127887930</v>
      </c>
    </row>
    <row r="13" spans="1:21" s="54" customFormat="1" ht="30" customHeight="1">
      <c r="A13" s="280" t="s">
        <v>180</v>
      </c>
      <c r="B13" s="181"/>
      <c r="C13" s="143">
        <v>2000000</v>
      </c>
      <c r="D13" s="214"/>
      <c r="E13" s="143">
        <v>30831344250</v>
      </c>
      <c r="F13" s="214"/>
      <c r="G13" s="143">
        <v>30122187375</v>
      </c>
      <c r="H13" s="214"/>
      <c r="I13" s="285">
        <f t="shared" si="0"/>
        <v>709156875</v>
      </c>
      <c r="J13" s="214"/>
      <c r="K13" s="143">
        <f t="shared" si="1"/>
        <v>2000000</v>
      </c>
      <c r="L13" s="214"/>
      <c r="M13" s="143">
        <f t="shared" si="2"/>
        <v>30831344250</v>
      </c>
      <c r="N13" s="214"/>
      <c r="O13" s="143">
        <v>26268768750</v>
      </c>
      <c r="P13" s="214"/>
      <c r="Q13" s="285">
        <f t="shared" si="3"/>
        <v>4562575500</v>
      </c>
    </row>
    <row r="14" spans="1:21" s="54" customFormat="1" ht="30" customHeight="1">
      <c r="A14" s="280" t="s">
        <v>292</v>
      </c>
      <c r="B14" s="280"/>
      <c r="C14" s="143">
        <v>20000000</v>
      </c>
      <c r="D14" s="214"/>
      <c r="E14" s="143">
        <v>202291759530</v>
      </c>
      <c r="F14" s="214"/>
      <c r="G14" s="143">
        <v>200000000000</v>
      </c>
      <c r="H14" s="214"/>
      <c r="I14" s="285">
        <f t="shared" si="0"/>
        <v>2291759530</v>
      </c>
      <c r="J14" s="214"/>
      <c r="K14" s="143">
        <f>C14</f>
        <v>20000000</v>
      </c>
      <c r="L14" s="214"/>
      <c r="M14" s="143">
        <f t="shared" si="2"/>
        <v>202291759530</v>
      </c>
      <c r="N14" s="214"/>
      <c r="O14" s="143">
        <v>200000000000</v>
      </c>
      <c r="P14" s="214"/>
      <c r="Q14" s="285">
        <f t="shared" si="3"/>
        <v>2291759530</v>
      </c>
    </row>
    <row r="15" spans="1:21" s="54" customFormat="1" ht="30" customHeight="1">
      <c r="A15" s="280" t="s">
        <v>217</v>
      </c>
      <c r="B15" s="181"/>
      <c r="C15" s="143">
        <v>6925156</v>
      </c>
      <c r="D15" s="214"/>
      <c r="E15" s="143">
        <v>93344002431</v>
      </c>
      <c r="F15" s="214"/>
      <c r="G15" s="143">
        <v>97018729799</v>
      </c>
      <c r="H15" s="214"/>
      <c r="I15" s="285">
        <f t="shared" si="0"/>
        <v>-3674727368</v>
      </c>
      <c r="J15" s="214"/>
      <c r="K15" s="143">
        <f t="shared" si="1"/>
        <v>6925156</v>
      </c>
      <c r="L15" s="214"/>
      <c r="M15" s="143">
        <f t="shared" si="2"/>
        <v>93344002431</v>
      </c>
      <c r="N15" s="214"/>
      <c r="O15" s="143">
        <v>88751574875</v>
      </c>
      <c r="P15" s="214"/>
      <c r="Q15" s="285">
        <f t="shared" si="3"/>
        <v>4592427556</v>
      </c>
    </row>
    <row r="16" spans="1:21" s="54" customFormat="1" ht="30" customHeight="1">
      <c r="A16" s="280" t="s">
        <v>205</v>
      </c>
      <c r="B16" s="181"/>
      <c r="C16" s="143">
        <v>3282473</v>
      </c>
      <c r="D16" s="214"/>
      <c r="E16" s="143">
        <v>42761919385</v>
      </c>
      <c r="F16" s="214"/>
      <c r="G16" s="143">
        <v>40488228481</v>
      </c>
      <c r="H16" s="214"/>
      <c r="I16" s="285">
        <f t="shared" si="0"/>
        <v>2273690904</v>
      </c>
      <c r="J16" s="214"/>
      <c r="K16" s="143">
        <f t="shared" si="1"/>
        <v>3282473</v>
      </c>
      <c r="L16" s="214"/>
      <c r="M16" s="143">
        <f t="shared" si="2"/>
        <v>42761919385</v>
      </c>
      <c r="N16" s="214"/>
      <c r="O16" s="143">
        <v>41240905021</v>
      </c>
      <c r="P16" s="214"/>
      <c r="Q16" s="285">
        <f t="shared" si="3"/>
        <v>1521014364</v>
      </c>
    </row>
    <row r="17" spans="1:18" s="54" customFormat="1" ht="30" customHeight="1">
      <c r="A17" s="280" t="s">
        <v>218</v>
      </c>
      <c r="B17" s="181"/>
      <c r="C17" s="143">
        <v>1586190</v>
      </c>
      <c r="D17" s="214"/>
      <c r="E17" s="143">
        <v>33809098563</v>
      </c>
      <c r="F17" s="214"/>
      <c r="G17" s="143">
        <v>28914289023</v>
      </c>
      <c r="H17" s="214"/>
      <c r="I17" s="285">
        <f t="shared" si="0"/>
        <v>4894809540</v>
      </c>
      <c r="J17" s="214"/>
      <c r="K17" s="143">
        <f t="shared" si="1"/>
        <v>1586190</v>
      </c>
      <c r="L17" s="214"/>
      <c r="M17" s="143">
        <f t="shared" si="2"/>
        <v>33809098563</v>
      </c>
      <c r="N17" s="214"/>
      <c r="O17" s="143">
        <v>25592431652</v>
      </c>
      <c r="P17" s="214"/>
      <c r="Q17" s="285">
        <f t="shared" si="3"/>
        <v>8216666911</v>
      </c>
    </row>
    <row r="18" spans="1:18" s="54" customFormat="1" ht="30" customHeight="1">
      <c r="A18" s="280" t="s">
        <v>177</v>
      </c>
      <c r="B18" s="181"/>
      <c r="C18" s="143">
        <v>12935390</v>
      </c>
      <c r="D18" s="214"/>
      <c r="E18" s="143">
        <v>303300529331</v>
      </c>
      <c r="F18" s="214"/>
      <c r="G18" s="143">
        <v>302556030773</v>
      </c>
      <c r="H18" s="214"/>
      <c r="I18" s="285">
        <f t="shared" si="0"/>
        <v>744498558</v>
      </c>
      <c r="J18" s="214"/>
      <c r="K18" s="143">
        <f t="shared" si="1"/>
        <v>12935390</v>
      </c>
      <c r="L18" s="214"/>
      <c r="M18" s="143">
        <f>E18</f>
        <v>303300529331</v>
      </c>
      <c r="N18" s="214"/>
      <c r="O18" s="143">
        <v>279572358721</v>
      </c>
      <c r="P18" s="214"/>
      <c r="Q18" s="285">
        <f t="shared" si="3"/>
        <v>23728170610</v>
      </c>
    </row>
    <row r="19" spans="1:18" s="54" customFormat="1" ht="30" customHeight="1">
      <c r="A19" s="280" t="s">
        <v>223</v>
      </c>
      <c r="B19" s="181"/>
      <c r="C19" s="143">
        <v>1231</v>
      </c>
      <c r="D19" s="214"/>
      <c r="E19" s="143">
        <v>46993105</v>
      </c>
      <c r="F19" s="214"/>
      <c r="G19" s="143">
        <v>45711251</v>
      </c>
      <c r="H19" s="214"/>
      <c r="I19" s="285">
        <f t="shared" si="0"/>
        <v>1281854</v>
      </c>
      <c r="J19" s="214"/>
      <c r="K19" s="143">
        <f t="shared" si="1"/>
        <v>1231</v>
      </c>
      <c r="L19" s="214"/>
      <c r="M19" s="143">
        <f t="shared" si="2"/>
        <v>46993105</v>
      </c>
      <c r="N19" s="214"/>
      <c r="O19" s="143">
        <v>40343854</v>
      </c>
      <c r="P19" s="214"/>
      <c r="Q19" s="285">
        <f t="shared" si="3"/>
        <v>6649251</v>
      </c>
    </row>
    <row r="20" spans="1:18" s="54" customFormat="1" ht="30" customHeight="1">
      <c r="A20" s="280" t="s">
        <v>271</v>
      </c>
      <c r="B20" s="181"/>
      <c r="C20" s="143">
        <v>56885</v>
      </c>
      <c r="D20" s="214"/>
      <c r="E20" s="143">
        <v>1597411513</v>
      </c>
      <c r="F20" s="214"/>
      <c r="G20" s="143">
        <v>1702058400</v>
      </c>
      <c r="H20" s="214"/>
      <c r="I20" s="285">
        <f t="shared" si="0"/>
        <v>-104646887</v>
      </c>
      <c r="J20" s="214"/>
      <c r="K20" s="143">
        <f t="shared" si="1"/>
        <v>56885</v>
      </c>
      <c r="L20" s="214"/>
      <c r="M20" s="143">
        <f t="shared" si="2"/>
        <v>1597411513</v>
      </c>
      <c r="N20" s="214"/>
      <c r="O20" s="143">
        <v>1584268023</v>
      </c>
      <c r="P20" s="214"/>
      <c r="Q20" s="285">
        <f t="shared" si="3"/>
        <v>13143490</v>
      </c>
    </row>
    <row r="21" spans="1:18" s="54" customFormat="1" ht="30" customHeight="1">
      <c r="A21" s="280" t="s">
        <v>272</v>
      </c>
      <c r="B21" s="181"/>
      <c r="C21" s="143">
        <v>1694000</v>
      </c>
      <c r="D21" s="214"/>
      <c r="E21" s="143">
        <v>21826650038</v>
      </c>
      <c r="F21" s="214"/>
      <c r="G21" s="143">
        <v>21758970502</v>
      </c>
      <c r="H21" s="214"/>
      <c r="I21" s="285">
        <f t="shared" si="0"/>
        <v>67679536</v>
      </c>
      <c r="J21" s="214"/>
      <c r="K21" s="143">
        <f t="shared" si="1"/>
        <v>1694000</v>
      </c>
      <c r="L21" s="214"/>
      <c r="M21" s="143">
        <f t="shared" si="2"/>
        <v>21826650038</v>
      </c>
      <c r="N21" s="214"/>
      <c r="O21" s="143">
        <v>20012387472</v>
      </c>
      <c r="P21" s="214"/>
      <c r="Q21" s="285">
        <f t="shared" si="3"/>
        <v>1814262566</v>
      </c>
    </row>
    <row r="22" spans="1:18" s="54" customFormat="1" ht="30" customHeight="1">
      <c r="A22" s="280" t="s">
        <v>273</v>
      </c>
      <c r="B22" s="181"/>
      <c r="C22" s="143">
        <v>4000000</v>
      </c>
      <c r="D22" s="214"/>
      <c r="E22" s="143">
        <v>40671645000</v>
      </c>
      <c r="F22" s="214"/>
      <c r="G22" s="143">
        <v>40216253398</v>
      </c>
      <c r="H22" s="214"/>
      <c r="I22" s="285">
        <f t="shared" si="0"/>
        <v>455391602</v>
      </c>
      <c r="J22" s="214"/>
      <c r="K22" s="143">
        <f t="shared" si="1"/>
        <v>4000000</v>
      </c>
      <c r="L22" s="214"/>
      <c r="M22" s="143">
        <f t="shared" si="2"/>
        <v>40671645000</v>
      </c>
      <c r="N22" s="214"/>
      <c r="O22" s="143">
        <v>40251878398</v>
      </c>
      <c r="P22" s="214"/>
      <c r="Q22" s="285">
        <f t="shared" si="3"/>
        <v>419766602</v>
      </c>
    </row>
    <row r="23" spans="1:18" s="54" customFormat="1" ht="30" customHeight="1">
      <c r="A23" s="280" t="s">
        <v>285</v>
      </c>
      <c r="B23" s="181"/>
      <c r="C23" s="143">
        <v>411</v>
      </c>
      <c r="D23" s="214"/>
      <c r="E23" s="143">
        <v>992379</v>
      </c>
      <c r="F23" s="214"/>
      <c r="G23" s="143">
        <v>999241</v>
      </c>
      <c r="H23" s="214"/>
      <c r="I23" s="285">
        <f t="shared" si="0"/>
        <v>-6862</v>
      </c>
      <c r="J23" s="214"/>
      <c r="K23" s="143">
        <f t="shared" si="1"/>
        <v>411</v>
      </c>
      <c r="L23" s="214"/>
      <c r="M23" s="143">
        <f t="shared" si="2"/>
        <v>992379</v>
      </c>
      <c r="N23" s="214"/>
      <c r="O23" s="143">
        <v>999241</v>
      </c>
      <c r="P23" s="214"/>
      <c r="Q23" s="285">
        <f t="shared" si="3"/>
        <v>-6862</v>
      </c>
    </row>
    <row r="24" spans="1:18" s="54" customFormat="1" ht="30" customHeight="1">
      <c r="A24" s="280" t="s">
        <v>303</v>
      </c>
      <c r="B24" s="181"/>
      <c r="C24" s="143">
        <v>15428991</v>
      </c>
      <c r="D24" s="214"/>
      <c r="E24" s="143">
        <v>202148132146</v>
      </c>
      <c r="F24" s="214"/>
      <c r="G24" s="143">
        <v>199999993026</v>
      </c>
      <c r="H24" s="214"/>
      <c r="I24" s="285">
        <f t="shared" si="0"/>
        <v>2148139120</v>
      </c>
      <c r="J24" s="214"/>
      <c r="K24" s="143">
        <f t="shared" si="1"/>
        <v>15428991</v>
      </c>
      <c r="L24" s="214"/>
      <c r="M24" s="143">
        <f t="shared" si="2"/>
        <v>202148132146</v>
      </c>
      <c r="N24" s="214"/>
      <c r="O24" s="143">
        <v>199999993026</v>
      </c>
      <c r="P24" s="214"/>
      <c r="Q24" s="285">
        <f t="shared" si="3"/>
        <v>2148139120</v>
      </c>
    </row>
    <row r="25" spans="1:18" s="54" customFormat="1" ht="30" customHeight="1">
      <c r="A25" s="280" t="s">
        <v>232</v>
      </c>
      <c r="B25" s="181"/>
      <c r="C25" s="143">
        <v>1000000</v>
      </c>
      <c r="D25" s="214"/>
      <c r="E25" s="143">
        <v>15472604438</v>
      </c>
      <c r="F25" s="214"/>
      <c r="G25" s="143">
        <v>15074078250</v>
      </c>
      <c r="H25" s="214"/>
      <c r="I25" s="285">
        <f t="shared" si="0"/>
        <v>398526188</v>
      </c>
      <c r="J25" s="214"/>
      <c r="K25" s="143">
        <f t="shared" si="1"/>
        <v>1000000</v>
      </c>
      <c r="L25" s="214"/>
      <c r="M25" s="143">
        <f t="shared" si="2"/>
        <v>15472604438</v>
      </c>
      <c r="N25" s="214"/>
      <c r="O25" s="143">
        <v>14618938315</v>
      </c>
      <c r="P25" s="214"/>
      <c r="Q25" s="285">
        <f t="shared" si="3"/>
        <v>853666123</v>
      </c>
    </row>
    <row r="26" spans="1:18" s="54" customFormat="1" ht="30" customHeight="1">
      <c r="A26" s="280" t="s">
        <v>224</v>
      </c>
      <c r="B26" s="181"/>
      <c r="C26" s="143">
        <v>1504778</v>
      </c>
      <c r="D26" s="214"/>
      <c r="E26" s="143">
        <v>31487663045</v>
      </c>
      <c r="F26" s="214"/>
      <c r="G26" s="143">
        <v>29987677950</v>
      </c>
      <c r="H26" s="214"/>
      <c r="I26" s="285">
        <f t="shared" si="0"/>
        <v>1499985095</v>
      </c>
      <c r="J26" s="214"/>
      <c r="K26" s="143">
        <f t="shared" si="1"/>
        <v>1504778</v>
      </c>
      <c r="L26" s="214"/>
      <c r="M26" s="143">
        <f t="shared" si="2"/>
        <v>31487663045</v>
      </c>
      <c r="N26" s="214"/>
      <c r="O26" s="143">
        <v>28888407029</v>
      </c>
      <c r="P26" s="214"/>
      <c r="Q26" s="285">
        <f t="shared" si="3"/>
        <v>2599256016</v>
      </c>
    </row>
    <row r="27" spans="1:18" s="283" customFormat="1" ht="30" customHeight="1">
      <c r="A27" s="280" t="s">
        <v>240</v>
      </c>
      <c r="B27" s="181"/>
      <c r="C27" s="143">
        <v>715971</v>
      </c>
      <c r="D27" s="214"/>
      <c r="E27" s="143">
        <v>676146402356</v>
      </c>
      <c r="F27" s="214"/>
      <c r="G27" s="143">
        <v>647027412791</v>
      </c>
      <c r="H27" s="214"/>
      <c r="I27" s="285">
        <f t="shared" si="0"/>
        <v>29118989565</v>
      </c>
      <c r="J27" s="214"/>
      <c r="K27" s="143">
        <f t="shared" si="1"/>
        <v>715971</v>
      </c>
      <c r="L27" s="214"/>
      <c r="M27" s="143">
        <f t="shared" si="2"/>
        <v>676146402356</v>
      </c>
      <c r="N27" s="214"/>
      <c r="O27" s="143">
        <v>681266280802</v>
      </c>
      <c r="P27" s="214"/>
      <c r="Q27" s="285">
        <f t="shared" si="3"/>
        <v>-5119878446</v>
      </c>
      <c r="R27" s="54"/>
    </row>
    <row r="28" spans="1:18" s="284" customFormat="1" ht="31.5" customHeight="1">
      <c r="A28" s="280" t="s">
        <v>50</v>
      </c>
      <c r="B28" s="214"/>
      <c r="C28" s="143">
        <v>450000</v>
      </c>
      <c r="D28" s="214"/>
      <c r="E28" s="143">
        <v>449918437500</v>
      </c>
      <c r="F28" s="214"/>
      <c r="G28" s="143">
        <v>449918437500</v>
      </c>
      <c r="H28" s="214"/>
      <c r="I28" s="285">
        <f t="shared" si="0"/>
        <v>0</v>
      </c>
      <c r="J28" s="214"/>
      <c r="K28" s="143">
        <f t="shared" si="1"/>
        <v>450000</v>
      </c>
      <c r="L28" s="214"/>
      <c r="M28" s="143">
        <f t="shared" si="2"/>
        <v>449918437500</v>
      </c>
      <c r="N28" s="214"/>
      <c r="O28" s="143">
        <v>449918437500</v>
      </c>
      <c r="P28" s="214"/>
      <c r="Q28" s="285">
        <f t="shared" si="3"/>
        <v>0</v>
      </c>
      <c r="R28" s="58"/>
    </row>
    <row r="29" spans="1:18" s="284" customFormat="1" ht="31.5" customHeight="1">
      <c r="A29" s="280" t="s">
        <v>55</v>
      </c>
      <c r="B29" s="214"/>
      <c r="C29" s="143">
        <v>95000</v>
      </c>
      <c r="D29" s="214"/>
      <c r="E29" s="143">
        <v>90960260464</v>
      </c>
      <c r="F29" s="214"/>
      <c r="G29" s="143">
        <v>90233642187</v>
      </c>
      <c r="H29" s="214"/>
      <c r="I29" s="285">
        <f t="shared" si="0"/>
        <v>726618277</v>
      </c>
      <c r="J29" s="214"/>
      <c r="K29" s="143">
        <f t="shared" si="1"/>
        <v>95000</v>
      </c>
      <c r="L29" s="214"/>
      <c r="M29" s="143">
        <f t="shared" si="2"/>
        <v>90960260464</v>
      </c>
      <c r="N29" s="214"/>
      <c r="O29" s="143">
        <v>88680673714</v>
      </c>
      <c r="P29" s="214"/>
      <c r="Q29" s="285">
        <f t="shared" si="3"/>
        <v>2279586750</v>
      </c>
      <c r="R29" s="58"/>
    </row>
    <row r="30" spans="1:18" s="284" customFormat="1" ht="31.5" customHeight="1">
      <c r="A30" s="280" t="s">
        <v>59</v>
      </c>
      <c r="B30" s="214"/>
      <c r="C30" s="143">
        <v>41340</v>
      </c>
      <c r="D30" s="214"/>
      <c r="E30" s="143">
        <v>38999287098</v>
      </c>
      <c r="F30" s="214"/>
      <c r="G30" s="143">
        <v>38087491990</v>
      </c>
      <c r="H30" s="214"/>
      <c r="I30" s="285">
        <f t="shared" si="0"/>
        <v>911795108</v>
      </c>
      <c r="J30" s="214"/>
      <c r="K30" s="143">
        <f t="shared" si="1"/>
        <v>41340</v>
      </c>
      <c r="L30" s="214"/>
      <c r="M30" s="143">
        <f t="shared" si="2"/>
        <v>38999287098</v>
      </c>
      <c r="N30" s="214"/>
      <c r="O30" s="143">
        <v>38232569090</v>
      </c>
      <c r="P30" s="214"/>
      <c r="Q30" s="285">
        <f t="shared" si="3"/>
        <v>766718008</v>
      </c>
      <c r="R30" s="58"/>
    </row>
    <row r="31" spans="1:18" s="284" customFormat="1" ht="31.5" customHeight="1">
      <c r="A31" s="280" t="s">
        <v>42</v>
      </c>
      <c r="B31" s="214"/>
      <c r="C31" s="143">
        <v>205088</v>
      </c>
      <c r="D31" s="214"/>
      <c r="E31" s="143">
        <v>149586629388</v>
      </c>
      <c r="F31" s="214"/>
      <c r="G31" s="143">
        <v>146227896829</v>
      </c>
      <c r="H31" s="214"/>
      <c r="I31" s="285">
        <f t="shared" si="0"/>
        <v>3358732559</v>
      </c>
      <c r="J31" s="214"/>
      <c r="K31" s="143">
        <f t="shared" si="1"/>
        <v>205088</v>
      </c>
      <c r="L31" s="214"/>
      <c r="M31" s="143">
        <f t="shared" si="2"/>
        <v>149586629388</v>
      </c>
      <c r="N31" s="214"/>
      <c r="O31" s="143">
        <v>137074783190</v>
      </c>
      <c r="P31" s="214"/>
      <c r="Q31" s="285">
        <f t="shared" si="3"/>
        <v>12511846198</v>
      </c>
      <c r="R31" s="58"/>
    </row>
    <row r="32" spans="1:18" s="284" customFormat="1" ht="31.5" customHeight="1">
      <c r="A32" s="280" t="s">
        <v>45</v>
      </c>
      <c r="B32" s="214"/>
      <c r="C32" s="143">
        <v>193096</v>
      </c>
      <c r="D32" s="214"/>
      <c r="E32" s="143">
        <v>121531900350</v>
      </c>
      <c r="F32" s="214"/>
      <c r="G32" s="143">
        <v>118638472232</v>
      </c>
      <c r="H32" s="214"/>
      <c r="I32" s="285">
        <f t="shared" si="0"/>
        <v>2893428118</v>
      </c>
      <c r="J32" s="214"/>
      <c r="K32" s="143">
        <f t="shared" si="1"/>
        <v>193096</v>
      </c>
      <c r="L32" s="214"/>
      <c r="M32" s="143">
        <f t="shared" si="2"/>
        <v>121531900350</v>
      </c>
      <c r="N32" s="214"/>
      <c r="O32" s="143">
        <v>112986443366</v>
      </c>
      <c r="P32" s="214"/>
      <c r="Q32" s="285">
        <f t="shared" si="3"/>
        <v>8545456984</v>
      </c>
      <c r="R32" s="58"/>
    </row>
    <row r="33" spans="1:19" s="284" customFormat="1" ht="31.5" customHeight="1">
      <c r="A33" s="280" t="s">
        <v>61</v>
      </c>
      <c r="B33" s="214"/>
      <c r="C33" s="143">
        <v>200000</v>
      </c>
      <c r="D33" s="214"/>
      <c r="E33" s="143">
        <v>199963750000</v>
      </c>
      <c r="F33" s="214"/>
      <c r="G33" s="143">
        <v>199963750000</v>
      </c>
      <c r="H33" s="214"/>
      <c r="I33" s="285">
        <f t="shared" si="0"/>
        <v>0</v>
      </c>
      <c r="J33" s="214"/>
      <c r="K33" s="143">
        <f t="shared" si="1"/>
        <v>200000</v>
      </c>
      <c r="L33" s="214"/>
      <c r="M33" s="143">
        <f t="shared" si="2"/>
        <v>199963750000</v>
      </c>
      <c r="N33" s="214"/>
      <c r="O33" s="143">
        <v>199963750000</v>
      </c>
      <c r="P33" s="214"/>
      <c r="Q33" s="285">
        <f t="shared" si="3"/>
        <v>0</v>
      </c>
      <c r="R33" s="58"/>
    </row>
    <row r="34" spans="1:19" s="284" customFormat="1" ht="31.5" customHeight="1">
      <c r="A34" s="280" t="s">
        <v>64</v>
      </c>
      <c r="B34" s="214"/>
      <c r="C34" s="143">
        <v>567234</v>
      </c>
      <c r="D34" s="214"/>
      <c r="E34" s="143">
        <v>359271936817</v>
      </c>
      <c r="F34" s="214"/>
      <c r="G34" s="143">
        <v>353275279231</v>
      </c>
      <c r="H34" s="214"/>
      <c r="I34" s="285">
        <f t="shared" si="0"/>
        <v>5996657586</v>
      </c>
      <c r="J34" s="214"/>
      <c r="K34" s="143">
        <f t="shared" si="1"/>
        <v>567234</v>
      </c>
      <c r="L34" s="214"/>
      <c r="M34" s="143">
        <f t="shared" si="2"/>
        <v>359271936817</v>
      </c>
      <c r="N34" s="214"/>
      <c r="O34" s="143">
        <v>337728997125</v>
      </c>
      <c r="P34" s="214"/>
      <c r="Q34" s="285">
        <f t="shared" si="3"/>
        <v>21542939692</v>
      </c>
      <c r="R34" s="285"/>
    </row>
    <row r="35" spans="1:19" s="58" customFormat="1" ht="31.5" customHeight="1">
      <c r="A35" s="280" t="s">
        <v>40</v>
      </c>
      <c r="B35" s="214"/>
      <c r="C35" s="143">
        <v>660162</v>
      </c>
      <c r="D35" s="214"/>
      <c r="E35" s="143">
        <v>411734415209</v>
      </c>
      <c r="F35" s="214"/>
      <c r="G35" s="143">
        <v>398101304013</v>
      </c>
      <c r="H35" s="214"/>
      <c r="I35" s="285">
        <f t="shared" si="0"/>
        <v>13633111196</v>
      </c>
      <c r="J35" s="214"/>
      <c r="K35" s="143">
        <f t="shared" si="1"/>
        <v>660162</v>
      </c>
      <c r="L35" s="214"/>
      <c r="M35" s="143">
        <f t="shared" si="2"/>
        <v>411734415209</v>
      </c>
      <c r="N35" s="214"/>
      <c r="O35" s="143">
        <v>377571672880</v>
      </c>
      <c r="P35" s="214"/>
      <c r="Q35" s="285">
        <f t="shared" si="3"/>
        <v>34162742329</v>
      </c>
      <c r="R35" s="285"/>
    </row>
    <row r="36" spans="1:19" s="284" customFormat="1" ht="31.5" customHeight="1">
      <c r="A36" s="280" t="s">
        <v>36</v>
      </c>
      <c r="B36" s="214"/>
      <c r="C36" s="143">
        <v>621257</v>
      </c>
      <c r="D36" s="214"/>
      <c r="E36" s="143">
        <v>416042517224</v>
      </c>
      <c r="F36" s="214"/>
      <c r="G36" s="143">
        <v>403529899883</v>
      </c>
      <c r="H36" s="214"/>
      <c r="I36" s="285">
        <f t="shared" si="0"/>
        <v>12512617341</v>
      </c>
      <c r="J36" s="214"/>
      <c r="K36" s="143">
        <f t="shared" si="1"/>
        <v>621257</v>
      </c>
      <c r="L36" s="214"/>
      <c r="M36" s="143">
        <f t="shared" si="2"/>
        <v>416042517224</v>
      </c>
      <c r="N36" s="214"/>
      <c r="O36" s="143">
        <v>382674258674</v>
      </c>
      <c r="P36" s="214"/>
      <c r="Q36" s="285">
        <f t="shared" si="3"/>
        <v>33368258550</v>
      </c>
      <c r="R36" s="58"/>
    </row>
    <row r="37" spans="1:19" s="58" customFormat="1" ht="31.5" customHeight="1">
      <c r="A37" s="280" t="s">
        <v>201</v>
      </c>
      <c r="B37" s="214"/>
      <c r="C37" s="143">
        <v>38010</v>
      </c>
      <c r="D37" s="214"/>
      <c r="E37" s="143">
        <v>32492659638</v>
      </c>
      <c r="F37" s="214"/>
      <c r="G37" s="143">
        <v>32609120675</v>
      </c>
      <c r="H37" s="214"/>
      <c r="I37" s="285">
        <f t="shared" si="0"/>
        <v>-116461037</v>
      </c>
      <c r="J37" s="214"/>
      <c r="K37" s="143">
        <f t="shared" si="1"/>
        <v>38010</v>
      </c>
      <c r="L37" s="214"/>
      <c r="M37" s="143">
        <f t="shared" si="2"/>
        <v>32492659638</v>
      </c>
      <c r="N37" s="214"/>
      <c r="O37" s="143">
        <v>29751677203</v>
      </c>
      <c r="P37" s="214"/>
      <c r="Q37" s="285">
        <f t="shared" si="3"/>
        <v>2740982435</v>
      </c>
    </row>
    <row r="38" spans="1:19" s="284" customFormat="1" ht="31.5" customHeight="1">
      <c r="A38" s="280" t="s">
        <v>164</v>
      </c>
      <c r="B38" s="214"/>
      <c r="C38" s="143">
        <v>106610</v>
      </c>
      <c r="D38" s="214"/>
      <c r="E38" s="143">
        <v>84816333453</v>
      </c>
      <c r="F38" s="214"/>
      <c r="G38" s="143">
        <v>82606324634</v>
      </c>
      <c r="H38" s="214"/>
      <c r="I38" s="285">
        <f t="shared" si="0"/>
        <v>2210008819</v>
      </c>
      <c r="J38" s="214"/>
      <c r="K38" s="143">
        <f t="shared" si="1"/>
        <v>106610</v>
      </c>
      <c r="L38" s="214"/>
      <c r="M38" s="143">
        <f t="shared" si="2"/>
        <v>84816333453</v>
      </c>
      <c r="N38" s="214"/>
      <c r="O38" s="143">
        <v>77615613446</v>
      </c>
      <c r="P38" s="214"/>
      <c r="Q38" s="285">
        <f t="shared" si="3"/>
        <v>7200720007</v>
      </c>
      <c r="R38" s="58"/>
    </row>
    <row r="39" spans="1:19" s="284" customFormat="1" ht="31.5" customHeight="1">
      <c r="A39" s="280" t="s">
        <v>47</v>
      </c>
      <c r="B39" s="214"/>
      <c r="C39" s="143">
        <v>500000</v>
      </c>
      <c r="D39" s="214"/>
      <c r="E39" s="143">
        <v>499909375000</v>
      </c>
      <c r="F39" s="214"/>
      <c r="G39" s="143">
        <v>548900493750</v>
      </c>
      <c r="H39" s="214"/>
      <c r="I39" s="285">
        <f t="shared" si="0"/>
        <v>-48991118750</v>
      </c>
      <c r="J39" s="214"/>
      <c r="K39" s="143">
        <f t="shared" si="1"/>
        <v>500000</v>
      </c>
      <c r="L39" s="214"/>
      <c r="M39" s="143">
        <f t="shared" si="2"/>
        <v>499909375000</v>
      </c>
      <c r="N39" s="214"/>
      <c r="O39" s="143">
        <v>548900493750</v>
      </c>
      <c r="P39" s="214"/>
      <c r="Q39" s="285">
        <f t="shared" si="3"/>
        <v>-48991118750</v>
      </c>
      <c r="R39" s="58"/>
    </row>
    <row r="40" spans="1:19" s="58" customFormat="1" ht="31.5" customHeight="1">
      <c r="A40" s="280" t="s">
        <v>146</v>
      </c>
      <c r="B40" s="214"/>
      <c r="C40" s="143">
        <v>657910</v>
      </c>
      <c r="D40" s="214"/>
      <c r="E40" s="143">
        <v>403620406539</v>
      </c>
      <c r="F40" s="214"/>
      <c r="G40" s="143">
        <v>391533908699</v>
      </c>
      <c r="H40" s="214"/>
      <c r="I40" s="285">
        <f t="shared" si="0"/>
        <v>12086497840</v>
      </c>
      <c r="J40" s="214"/>
      <c r="K40" s="143">
        <f t="shared" si="1"/>
        <v>657910</v>
      </c>
      <c r="L40" s="214"/>
      <c r="M40" s="143">
        <f t="shared" si="2"/>
        <v>403620406539</v>
      </c>
      <c r="N40" s="214"/>
      <c r="O40" s="143">
        <v>370439230787</v>
      </c>
      <c r="P40" s="214"/>
      <c r="Q40" s="285">
        <f t="shared" si="3"/>
        <v>33181175752</v>
      </c>
    </row>
    <row r="41" spans="1:19" s="58" customFormat="1" ht="31.5" customHeight="1">
      <c r="A41" s="280" t="s">
        <v>165</v>
      </c>
      <c r="B41" s="214"/>
      <c r="C41" s="143">
        <v>500000</v>
      </c>
      <c r="D41" s="214"/>
      <c r="E41" s="143">
        <v>499909375000</v>
      </c>
      <c r="F41" s="214"/>
      <c r="G41" s="143">
        <v>499909375000</v>
      </c>
      <c r="H41" s="214"/>
      <c r="I41" s="285">
        <f t="shared" ref="I41" si="4">E41-G41</f>
        <v>0</v>
      </c>
      <c r="J41" s="214"/>
      <c r="K41" s="143">
        <f t="shared" ref="K41" si="5">C41</f>
        <v>500000</v>
      </c>
      <c r="L41" s="214"/>
      <c r="M41" s="143">
        <f t="shared" ref="M41:M42" si="6">E41</f>
        <v>499909375000</v>
      </c>
      <c r="N41" s="214"/>
      <c r="O41" s="143">
        <v>499909375000</v>
      </c>
      <c r="P41" s="214"/>
      <c r="Q41" s="285">
        <f t="shared" ref="Q41" si="7">M41-O41</f>
        <v>0</v>
      </c>
    </row>
    <row r="42" spans="1:19" s="58" customFormat="1" ht="31.5" customHeight="1">
      <c r="A42" s="280" t="s">
        <v>288</v>
      </c>
      <c r="B42" s="214"/>
      <c r="C42" s="143">
        <v>600000</v>
      </c>
      <c r="D42" s="214"/>
      <c r="E42" s="143">
        <v>519325855125</v>
      </c>
      <c r="F42" s="214"/>
      <c r="G42" s="143">
        <v>570020000000</v>
      </c>
      <c r="H42" s="214"/>
      <c r="I42" s="285">
        <f t="shared" si="0"/>
        <v>-50694144875</v>
      </c>
      <c r="J42" s="214"/>
      <c r="K42" s="143">
        <f t="shared" si="1"/>
        <v>600000</v>
      </c>
      <c r="L42" s="214"/>
      <c r="M42" s="143">
        <f t="shared" si="6"/>
        <v>519325855125</v>
      </c>
      <c r="N42" s="214"/>
      <c r="O42" s="143">
        <v>570020000000</v>
      </c>
      <c r="P42" s="214"/>
      <c r="Q42" s="285">
        <f t="shared" si="3"/>
        <v>-50694144875</v>
      </c>
    </row>
    <row r="43" spans="1:19" ht="30" customHeight="1" thickBot="1">
      <c r="A43" s="11" t="s">
        <v>12</v>
      </c>
      <c r="B43" s="196"/>
      <c r="C43" s="197">
        <f>SUM(C7:C42)</f>
        <v>109712844</v>
      </c>
      <c r="D43" s="196"/>
      <c r="E43" s="197">
        <f t="shared" ref="E43:Q43" si="8">SUM(E7:E42)</f>
        <v>6366668652163</v>
      </c>
      <c r="F43" s="198">
        <f t="shared" si="8"/>
        <v>0</v>
      </c>
      <c r="G43" s="197">
        <f t="shared" si="8"/>
        <v>6360287215486</v>
      </c>
      <c r="H43" s="198">
        <f t="shared" si="8"/>
        <v>0</v>
      </c>
      <c r="I43" s="250">
        <f t="shared" si="8"/>
        <v>6381436677</v>
      </c>
      <c r="J43" s="198">
        <f t="shared" si="8"/>
        <v>0</v>
      </c>
      <c r="K43" s="197">
        <f t="shared" si="8"/>
        <v>109712844</v>
      </c>
      <c r="L43" s="198">
        <f t="shared" si="8"/>
        <v>0</v>
      </c>
      <c r="M43" s="197">
        <f t="shared" si="8"/>
        <v>6366668652163</v>
      </c>
      <c r="N43" s="198">
        <f t="shared" si="8"/>
        <v>0</v>
      </c>
      <c r="O43" s="197">
        <f>SUM(O7:O42)</f>
        <v>6225978742952</v>
      </c>
      <c r="P43" s="198">
        <f t="shared" si="8"/>
        <v>0</v>
      </c>
      <c r="Q43" s="250">
        <f t="shared" si="8"/>
        <v>140689909211</v>
      </c>
      <c r="S43" s="12"/>
    </row>
    <row r="44" spans="1:19" ht="30" customHeight="1" thickTop="1">
      <c r="M44" s="35"/>
      <c r="O44" s="132"/>
      <c r="S44" s="12"/>
    </row>
    <row r="45" spans="1:19" ht="30" customHeight="1">
      <c r="S45" s="12"/>
    </row>
    <row r="46" spans="1:19" ht="30" customHeight="1">
      <c r="S46" s="12"/>
    </row>
    <row r="47" spans="1:19" ht="30" customHeight="1">
      <c r="S47" s="12"/>
    </row>
    <row r="48" spans="1:19" ht="30" customHeight="1">
      <c r="S48" s="12"/>
    </row>
    <row r="49" spans="18:19" ht="30" customHeight="1">
      <c r="S49" s="12"/>
    </row>
    <row r="50" spans="18:19" ht="30" customHeight="1">
      <c r="S50" s="12"/>
    </row>
    <row r="51" spans="18:19" ht="30" customHeight="1">
      <c r="S51" s="12"/>
    </row>
    <row r="52" spans="18:19" ht="30" customHeight="1">
      <c r="S52" s="12"/>
    </row>
    <row r="53" spans="18:19" ht="30" customHeight="1">
      <c r="S53" s="12"/>
    </row>
    <row r="54" spans="18:19" ht="30" customHeight="1">
      <c r="S54" s="12"/>
    </row>
    <row r="55" spans="18:19" ht="30" customHeight="1">
      <c r="S55" s="12"/>
    </row>
    <row r="56" spans="18:19" ht="30" customHeight="1">
      <c r="R56" s="12"/>
      <c r="S56" s="12"/>
    </row>
    <row r="57" spans="18:19" ht="30" customHeight="1">
      <c r="R57" s="12"/>
      <c r="S57" s="12"/>
    </row>
    <row r="58" spans="18:19" ht="30" customHeight="1">
      <c r="R58" s="12"/>
      <c r="S58" s="12"/>
    </row>
    <row r="59" spans="18:19" ht="30" customHeight="1">
      <c r="R59" s="12"/>
      <c r="S59" s="12"/>
    </row>
    <row r="60" spans="18:19" ht="30" customHeight="1">
      <c r="R60" s="12"/>
      <c r="S60" s="12"/>
    </row>
    <row r="61" spans="18:19" ht="30" customHeight="1">
      <c r="R61" s="12"/>
      <c r="S61" s="12"/>
    </row>
    <row r="62" spans="18:19" ht="30" customHeight="1">
      <c r="R62" s="12"/>
      <c r="S62" s="12"/>
    </row>
    <row r="63" spans="18:19" ht="30" customHeight="1">
      <c r="R63" s="12"/>
      <c r="S63" s="12"/>
    </row>
    <row r="64" spans="18:19" ht="30" customHeight="1">
      <c r="R64" s="12"/>
      <c r="S64" s="12"/>
    </row>
    <row r="65" spans="18:19" ht="30" customHeight="1">
      <c r="R65" s="12"/>
      <c r="S65" s="12"/>
    </row>
    <row r="66" spans="18:19" ht="30" customHeight="1">
      <c r="R66" s="12"/>
      <c r="S66" s="12"/>
    </row>
    <row r="67" spans="18:19" ht="30" customHeight="1">
      <c r="R67" s="12"/>
      <c r="S67" s="12"/>
    </row>
  </sheetData>
  <mergeCells count="8">
    <mergeCell ref="T6:U6"/>
    <mergeCell ref="A1:Q1"/>
    <mergeCell ref="A2:Q2"/>
    <mergeCell ref="A3:Q3"/>
    <mergeCell ref="A4:Q4"/>
    <mergeCell ref="A5:A6"/>
    <mergeCell ref="C5:I5"/>
    <mergeCell ref="K5:Q5"/>
  </mergeCells>
  <pageMargins left="0.39" right="0.39" top="0.39" bottom="0.39" header="0" footer="0"/>
  <pageSetup scale="68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8" tint="-0.249977111117893"/>
    <pageSetUpPr fitToPage="1"/>
  </sheetPr>
  <dimension ref="A1:AA48"/>
  <sheetViews>
    <sheetView rightToLeft="1" view="pageBreakPreview" zoomScale="80" zoomScaleNormal="100" zoomScaleSheetLayoutView="80" workbookViewId="0">
      <selection activeCell="T1" sqref="T1"/>
    </sheetView>
  </sheetViews>
  <sheetFormatPr defaultRowHeight="30" customHeight="1"/>
  <cols>
    <col min="1" max="1" width="28.5703125" style="54" bestFit="1" customWidth="1"/>
    <col min="2" max="2" width="1.28515625" style="54" customWidth="1"/>
    <col min="3" max="3" width="13.28515625" style="54" bestFit="1" customWidth="1"/>
    <col min="4" max="4" width="1.28515625" style="54" customWidth="1"/>
    <col min="5" max="5" width="19.85546875" style="54" customWidth="1"/>
    <col min="6" max="6" width="1.28515625" style="54" customWidth="1"/>
    <col min="7" max="7" width="21.85546875" style="54" bestFit="1" customWidth="1"/>
    <col min="8" max="8" width="1.28515625" style="54" customWidth="1"/>
    <col min="9" max="9" width="22" style="247" bestFit="1" customWidth="1"/>
    <col min="10" max="10" width="1.28515625" style="54" customWidth="1"/>
    <col min="11" max="11" width="16.7109375" style="54" bestFit="1" customWidth="1"/>
    <col min="12" max="12" width="0.7109375" style="54" customWidth="1"/>
    <col min="13" max="13" width="25" style="54" customWidth="1"/>
    <col min="14" max="14" width="1.28515625" style="54" customWidth="1"/>
    <col min="15" max="15" width="24.7109375" style="54" bestFit="1" customWidth="1"/>
    <col min="16" max="16" width="0.7109375" style="54" customWidth="1"/>
    <col min="17" max="17" width="20.7109375" style="248" customWidth="1"/>
    <col min="18" max="18" width="1.28515625" style="54" customWidth="1"/>
    <col min="19" max="19" width="0.28515625" style="54" customWidth="1"/>
    <col min="20" max="20" width="9.140625" style="54"/>
    <col min="21" max="21" width="14.7109375" style="54" bestFit="1" customWidth="1"/>
    <col min="22" max="22" width="9.85546875" style="54" bestFit="1" customWidth="1"/>
    <col min="23" max="23" width="15.85546875" style="54" bestFit="1" customWidth="1"/>
    <col min="24" max="24" width="15.85546875" style="54" customWidth="1"/>
    <col min="25" max="25" width="10.85546875" style="54" customWidth="1"/>
    <col min="26" max="26" width="12.28515625" style="54" customWidth="1"/>
    <col min="27" max="27" width="14" style="54" bestFit="1" customWidth="1"/>
    <col min="28" max="16384" width="9.140625" style="54"/>
  </cols>
  <sheetData>
    <row r="1" spans="1:27" ht="30" customHeight="1">
      <c r="A1" s="387" t="s">
        <v>0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</row>
    <row r="2" spans="1:27" ht="30" customHeight="1">
      <c r="A2" s="387" t="s">
        <v>88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</row>
    <row r="3" spans="1:27" ht="30" customHeight="1">
      <c r="A3" s="387" t="s">
        <v>283</v>
      </c>
      <c r="B3" s="387"/>
      <c r="C3" s="387"/>
      <c r="D3" s="387"/>
      <c r="E3" s="387"/>
      <c r="F3" s="387"/>
      <c r="G3" s="387"/>
      <c r="H3" s="387"/>
      <c r="I3" s="387"/>
      <c r="J3" s="387"/>
      <c r="K3" s="387"/>
      <c r="L3" s="387"/>
      <c r="M3" s="387"/>
      <c r="N3" s="387"/>
      <c r="O3" s="387"/>
      <c r="P3" s="387"/>
      <c r="Q3" s="387"/>
      <c r="R3" s="387"/>
    </row>
    <row r="4" spans="1:27" s="88" customFormat="1" ht="30" customHeight="1">
      <c r="A4" s="390" t="s">
        <v>133</v>
      </c>
      <c r="B4" s="390"/>
      <c r="C4" s="390"/>
      <c r="D4" s="390"/>
      <c r="E4" s="390"/>
      <c r="F4" s="390"/>
      <c r="G4" s="390"/>
      <c r="H4" s="390"/>
      <c r="I4" s="390"/>
      <c r="J4" s="390"/>
      <c r="K4" s="390"/>
      <c r="L4" s="390"/>
      <c r="M4" s="390"/>
      <c r="N4" s="390"/>
      <c r="O4" s="390"/>
      <c r="P4" s="390"/>
      <c r="Q4" s="390"/>
      <c r="R4" s="390"/>
    </row>
    <row r="5" spans="1:27" ht="25.5" customHeight="1">
      <c r="A5" s="352" t="s">
        <v>89</v>
      </c>
      <c r="C5" s="352" t="s">
        <v>99</v>
      </c>
      <c r="D5" s="352"/>
      <c r="E5" s="352"/>
      <c r="F5" s="352"/>
      <c r="G5" s="352"/>
      <c r="H5" s="352"/>
      <c r="I5" s="352"/>
      <c r="K5" s="352" t="str">
        <f>'درآمد سرمایه گذاری در سهام'!$M$5</f>
        <v>از ابتدای سال مالی تا پایان ماه</v>
      </c>
      <c r="L5" s="352"/>
      <c r="M5" s="352"/>
      <c r="N5" s="352"/>
      <c r="O5" s="352"/>
      <c r="P5" s="352"/>
      <c r="Q5" s="352"/>
      <c r="R5" s="352"/>
    </row>
    <row r="6" spans="1:27" ht="38.25" customHeight="1">
      <c r="A6" s="352"/>
      <c r="C6" s="61" t="s">
        <v>6</v>
      </c>
      <c r="D6" s="80"/>
      <c r="E6" s="61" t="s">
        <v>134</v>
      </c>
      <c r="F6" s="80"/>
      <c r="G6" s="61" t="s">
        <v>135</v>
      </c>
      <c r="H6" s="80"/>
      <c r="I6" s="245" t="s">
        <v>136</v>
      </c>
      <c r="K6" s="61" t="s">
        <v>6</v>
      </c>
      <c r="L6" s="80"/>
      <c r="M6" s="61" t="s">
        <v>134</v>
      </c>
      <c r="N6" s="80"/>
      <c r="O6" s="61" t="s">
        <v>135</v>
      </c>
      <c r="P6" s="80"/>
      <c r="Q6" s="399" t="s">
        <v>136</v>
      </c>
      <c r="R6" s="399"/>
      <c r="T6" s="397"/>
      <c r="U6" s="397"/>
      <c r="V6" s="397"/>
      <c r="W6" s="134"/>
      <c r="X6" s="134"/>
      <c r="Y6" s="134"/>
      <c r="Z6" s="134"/>
      <c r="AA6" s="134"/>
    </row>
    <row r="7" spans="1:27" ht="30" customHeight="1">
      <c r="A7" s="4" t="s">
        <v>276</v>
      </c>
      <c r="B7"/>
      <c r="C7" s="183">
        <v>0</v>
      </c>
      <c r="D7" s="196"/>
      <c r="E7" s="183">
        <v>0</v>
      </c>
      <c r="F7" s="196"/>
      <c r="G7" s="183">
        <v>0</v>
      </c>
      <c r="H7" s="196"/>
      <c r="I7" s="161">
        <f>E7-G7</f>
        <v>0</v>
      </c>
      <c r="J7" s="196"/>
      <c r="K7" s="183">
        <v>548457</v>
      </c>
      <c r="L7" s="196"/>
      <c r="M7" s="183">
        <v>3810903853</v>
      </c>
      <c r="N7" s="196"/>
      <c r="O7" s="183">
        <v>3739944143</v>
      </c>
      <c r="P7" s="196"/>
      <c r="Q7" s="161">
        <f>M7-O7</f>
        <v>70959710</v>
      </c>
      <c r="R7" s="288"/>
    </row>
    <row r="8" spans="1:27" ht="30" customHeight="1">
      <c r="A8" s="4" t="s">
        <v>239</v>
      </c>
      <c r="B8"/>
      <c r="C8" s="183">
        <v>0</v>
      </c>
      <c r="D8" s="196"/>
      <c r="E8" s="183">
        <v>0</v>
      </c>
      <c r="F8" s="196"/>
      <c r="G8" s="183">
        <v>0</v>
      </c>
      <c r="H8" s="196"/>
      <c r="I8" s="161">
        <f t="shared" ref="I8:I46" si="0">E8-G8</f>
        <v>0</v>
      </c>
      <c r="J8" s="196"/>
      <c r="K8" s="183">
        <v>75</v>
      </c>
      <c r="L8" s="196"/>
      <c r="M8" s="183">
        <v>5156781</v>
      </c>
      <c r="N8" s="196"/>
      <c r="O8" s="183">
        <v>4112010</v>
      </c>
      <c r="P8" s="196"/>
      <c r="Q8" s="161">
        <f t="shared" ref="Q8:Q46" si="1">M8-O8</f>
        <v>1044771</v>
      </c>
      <c r="R8" s="288"/>
    </row>
    <row r="9" spans="1:27" ht="30" customHeight="1">
      <c r="A9" s="4" t="s">
        <v>277</v>
      </c>
      <c r="B9"/>
      <c r="C9" s="183">
        <v>906</v>
      </c>
      <c r="D9" s="196"/>
      <c r="E9" s="183">
        <v>1290577</v>
      </c>
      <c r="F9" s="196"/>
      <c r="G9" s="183">
        <v>1120830</v>
      </c>
      <c r="H9" s="196"/>
      <c r="I9" s="161">
        <f t="shared" si="0"/>
        <v>169747</v>
      </c>
      <c r="J9" s="196"/>
      <c r="K9" s="183">
        <v>906</v>
      </c>
      <c r="L9" s="196"/>
      <c r="M9" s="183">
        <v>1290577</v>
      </c>
      <c r="N9" s="196"/>
      <c r="O9" s="183">
        <v>1120830</v>
      </c>
      <c r="P9" s="196"/>
      <c r="Q9" s="161">
        <f>M9-O9</f>
        <v>169747</v>
      </c>
      <c r="R9" s="288"/>
    </row>
    <row r="10" spans="1:27" ht="30" customHeight="1">
      <c r="A10" s="4" t="s">
        <v>287</v>
      </c>
      <c r="B10"/>
      <c r="C10" s="183">
        <v>208</v>
      </c>
      <c r="D10" s="196"/>
      <c r="E10" s="183">
        <v>684386</v>
      </c>
      <c r="F10" s="196"/>
      <c r="G10" s="183">
        <v>649754</v>
      </c>
      <c r="H10" s="196"/>
      <c r="I10" s="161">
        <f>E10-G10</f>
        <v>34632</v>
      </c>
      <c r="J10" s="196"/>
      <c r="K10" s="183">
        <v>208</v>
      </c>
      <c r="L10" s="196"/>
      <c r="M10" s="183">
        <v>684386</v>
      </c>
      <c r="N10" s="196"/>
      <c r="O10" s="183">
        <v>649754</v>
      </c>
      <c r="P10" s="196"/>
      <c r="Q10" s="161">
        <f t="shared" si="1"/>
        <v>34632</v>
      </c>
      <c r="R10" s="288"/>
    </row>
    <row r="11" spans="1:27" ht="30" customHeight="1">
      <c r="A11" s="4" t="s">
        <v>298</v>
      </c>
      <c r="B11"/>
      <c r="C11" s="183">
        <v>3000000</v>
      </c>
      <c r="D11" s="196"/>
      <c r="E11" s="183">
        <v>40301155496</v>
      </c>
      <c r="F11" s="183"/>
      <c r="G11" s="183">
        <v>38447469573</v>
      </c>
      <c r="H11" s="183"/>
      <c r="I11" s="161">
        <f>E11-G11</f>
        <v>1853685923</v>
      </c>
      <c r="J11" s="183"/>
      <c r="K11" s="183">
        <v>3000000</v>
      </c>
      <c r="L11" s="196"/>
      <c r="M11" s="183">
        <v>40301155496</v>
      </c>
      <c r="N11" s="183"/>
      <c r="O11" s="183">
        <v>38447469573</v>
      </c>
      <c r="P11" s="183"/>
      <c r="Q11" s="161">
        <f>M11-O11</f>
        <v>1853685923</v>
      </c>
      <c r="R11" s="288"/>
    </row>
    <row r="12" spans="1:27" ht="30" customHeight="1">
      <c r="A12" s="4" t="s">
        <v>231</v>
      </c>
      <c r="B12"/>
      <c r="C12" s="183">
        <v>0</v>
      </c>
      <c r="D12" s="196"/>
      <c r="E12" s="183">
        <v>0</v>
      </c>
      <c r="F12" s="183"/>
      <c r="G12" s="183">
        <v>0</v>
      </c>
      <c r="H12" s="183"/>
      <c r="I12" s="161">
        <f t="shared" si="0"/>
        <v>0</v>
      </c>
      <c r="J12" s="183"/>
      <c r="K12" s="183">
        <v>69104</v>
      </c>
      <c r="L12" s="183"/>
      <c r="M12" s="183">
        <v>656398641</v>
      </c>
      <c r="N12" s="183"/>
      <c r="O12" s="183">
        <v>688584756</v>
      </c>
      <c r="P12" s="183"/>
      <c r="Q12" s="161">
        <f t="shared" si="1"/>
        <v>-32186115</v>
      </c>
      <c r="R12" s="288"/>
    </row>
    <row r="13" spans="1:27" ht="30" customHeight="1">
      <c r="A13" s="4" t="s">
        <v>299</v>
      </c>
      <c r="B13"/>
      <c r="C13" s="183">
        <v>333</v>
      </c>
      <c r="D13" s="196"/>
      <c r="E13" s="183">
        <v>6981371</v>
      </c>
      <c r="F13" s="183"/>
      <c r="G13" s="183">
        <v>5372798</v>
      </c>
      <c r="H13" s="183"/>
      <c r="I13" s="161">
        <f>E13-G13</f>
        <v>1608573</v>
      </c>
      <c r="J13" s="183"/>
      <c r="K13" s="183">
        <v>333</v>
      </c>
      <c r="L13" s="196"/>
      <c r="M13" s="183">
        <v>6981371</v>
      </c>
      <c r="N13" s="183"/>
      <c r="O13" s="183">
        <v>5372798</v>
      </c>
      <c r="P13" s="183"/>
      <c r="Q13" s="161">
        <f>M13-O13</f>
        <v>1608573</v>
      </c>
      <c r="R13" s="288"/>
    </row>
    <row r="14" spans="1:27" ht="30" customHeight="1">
      <c r="A14" s="4" t="s">
        <v>274</v>
      </c>
      <c r="B14"/>
      <c r="C14" s="183">
        <v>0</v>
      </c>
      <c r="D14" s="196"/>
      <c r="E14" s="183">
        <v>0</v>
      </c>
      <c r="F14" s="183"/>
      <c r="G14" s="183">
        <v>0</v>
      </c>
      <c r="H14" s="183"/>
      <c r="I14" s="183">
        <f t="shared" si="0"/>
        <v>0</v>
      </c>
      <c r="J14" s="183"/>
      <c r="K14" s="183">
        <v>6000000</v>
      </c>
      <c r="L14" s="196"/>
      <c r="M14" s="183">
        <v>108224144462</v>
      </c>
      <c r="N14" s="183"/>
      <c r="O14" s="183">
        <v>107044990312</v>
      </c>
      <c r="P14" s="183"/>
      <c r="Q14" s="183">
        <f t="shared" si="1"/>
        <v>1179154150</v>
      </c>
      <c r="R14" s="288"/>
    </row>
    <row r="15" spans="1:27" ht="30" customHeight="1">
      <c r="A15" s="4" t="s">
        <v>205</v>
      </c>
      <c r="B15"/>
      <c r="C15" s="183">
        <v>720032</v>
      </c>
      <c r="D15" s="196"/>
      <c r="E15" s="183">
        <v>9322996985</v>
      </c>
      <c r="F15" s="183"/>
      <c r="G15" s="183">
        <v>9046463204</v>
      </c>
      <c r="H15" s="183"/>
      <c r="I15" s="183">
        <f t="shared" si="0"/>
        <v>276533781</v>
      </c>
      <c r="J15" s="183"/>
      <c r="K15" s="183">
        <f>C15+1625372</f>
        <v>2345404</v>
      </c>
      <c r="L15" s="196"/>
      <c r="M15" s="183">
        <f>E15+21744032711</f>
        <v>31067029696</v>
      </c>
      <c r="N15" s="183"/>
      <c r="O15" s="183">
        <f>G15+18212927379</f>
        <v>27259390583</v>
      </c>
      <c r="P15" s="183"/>
      <c r="Q15" s="183">
        <f t="shared" si="1"/>
        <v>3807639113</v>
      </c>
      <c r="R15" s="288"/>
    </row>
    <row r="16" spans="1:27" ht="30" customHeight="1">
      <c r="A16" s="4" t="s">
        <v>300</v>
      </c>
      <c r="B16"/>
      <c r="C16" s="183">
        <v>3800000</v>
      </c>
      <c r="D16" s="196"/>
      <c r="E16" s="183">
        <v>87863904000</v>
      </c>
      <c r="F16" s="183"/>
      <c r="G16" s="183">
        <v>82129333799</v>
      </c>
      <c r="H16" s="183"/>
      <c r="I16" s="183">
        <f t="shared" si="0"/>
        <v>5734570201</v>
      </c>
      <c r="J16" s="183"/>
      <c r="K16" s="183">
        <v>3800000</v>
      </c>
      <c r="L16" s="196"/>
      <c r="M16" s="183">
        <v>87863904000</v>
      </c>
      <c r="N16" s="183"/>
      <c r="O16" s="183">
        <v>82129333799</v>
      </c>
      <c r="P16" s="183"/>
      <c r="Q16" s="183">
        <f t="shared" si="1"/>
        <v>5734570201</v>
      </c>
      <c r="R16" s="288"/>
    </row>
    <row r="17" spans="1:27" ht="30" customHeight="1">
      <c r="A17" s="4" t="s">
        <v>301</v>
      </c>
      <c r="B17"/>
      <c r="C17" s="183">
        <v>136834</v>
      </c>
      <c r="D17" s="196"/>
      <c r="E17" s="183">
        <v>52742902282</v>
      </c>
      <c r="F17" s="183"/>
      <c r="G17" s="183">
        <v>38632974874</v>
      </c>
      <c r="H17" s="183"/>
      <c r="I17" s="183">
        <f t="shared" si="0"/>
        <v>14109927408</v>
      </c>
      <c r="J17" s="183"/>
      <c r="K17" s="183">
        <v>136834</v>
      </c>
      <c r="L17" s="196"/>
      <c r="M17" s="183">
        <v>52742902282</v>
      </c>
      <c r="N17" s="183"/>
      <c r="O17" s="183">
        <v>38632974874</v>
      </c>
      <c r="P17" s="183"/>
      <c r="Q17" s="183">
        <f t="shared" si="1"/>
        <v>14109927408</v>
      </c>
      <c r="R17" s="288"/>
    </row>
    <row r="18" spans="1:27" ht="30" customHeight="1">
      <c r="A18" s="4" t="s">
        <v>245</v>
      </c>
      <c r="B18"/>
      <c r="C18" s="183">
        <v>643631</v>
      </c>
      <c r="D18" s="196"/>
      <c r="E18" s="183">
        <v>24469206678</v>
      </c>
      <c r="F18" s="183"/>
      <c r="G18" s="183">
        <v>26275544504</v>
      </c>
      <c r="H18" s="183"/>
      <c r="I18" s="242">
        <f t="shared" si="0"/>
        <v>-1806337826</v>
      </c>
      <c r="J18" s="183"/>
      <c r="K18" s="183">
        <v>643631</v>
      </c>
      <c r="L18" s="196"/>
      <c r="M18" s="183">
        <v>24469206678</v>
      </c>
      <c r="N18" s="183"/>
      <c r="O18" s="183">
        <v>26275544504</v>
      </c>
      <c r="P18" s="183"/>
      <c r="Q18" s="242">
        <f t="shared" si="1"/>
        <v>-1806337826</v>
      </c>
      <c r="R18" s="288"/>
    </row>
    <row r="19" spans="1:27" ht="30" customHeight="1">
      <c r="A19" s="4" t="s">
        <v>244</v>
      </c>
      <c r="B19"/>
      <c r="C19" s="183">
        <v>473855</v>
      </c>
      <c r="D19" s="196"/>
      <c r="E19" s="183">
        <v>10396439068</v>
      </c>
      <c r="F19" s="183"/>
      <c r="G19" s="183">
        <v>11035895384</v>
      </c>
      <c r="H19" s="183"/>
      <c r="I19" s="242">
        <f t="shared" si="0"/>
        <v>-639456316</v>
      </c>
      <c r="J19" s="183"/>
      <c r="K19" s="183">
        <v>473855</v>
      </c>
      <c r="L19" s="196"/>
      <c r="M19" s="183">
        <v>10396439068</v>
      </c>
      <c r="N19" s="183"/>
      <c r="O19" s="183">
        <v>11035895384</v>
      </c>
      <c r="P19" s="183"/>
      <c r="Q19" s="242">
        <f t="shared" si="1"/>
        <v>-639456316</v>
      </c>
      <c r="R19" s="288"/>
    </row>
    <row r="20" spans="1:27" ht="30" customHeight="1">
      <c r="A20" s="4" t="s">
        <v>302</v>
      </c>
      <c r="B20"/>
      <c r="C20" s="183">
        <v>231325</v>
      </c>
      <c r="D20" s="196"/>
      <c r="E20" s="183">
        <v>51686862581</v>
      </c>
      <c r="F20" s="183"/>
      <c r="G20" s="183">
        <v>38771587739</v>
      </c>
      <c r="H20" s="183"/>
      <c r="I20" s="183">
        <f t="shared" si="0"/>
        <v>12915274842</v>
      </c>
      <c r="J20" s="183"/>
      <c r="K20" s="183">
        <v>231325</v>
      </c>
      <c r="L20" s="196"/>
      <c r="M20" s="183">
        <v>51686862581</v>
      </c>
      <c r="N20" s="183"/>
      <c r="O20" s="183">
        <v>38771587739</v>
      </c>
      <c r="P20" s="183"/>
      <c r="Q20" s="183">
        <f t="shared" si="1"/>
        <v>12915274842</v>
      </c>
      <c r="R20" s="288"/>
    </row>
    <row r="21" spans="1:27" ht="30" customHeight="1">
      <c r="A21" s="4" t="s">
        <v>271</v>
      </c>
      <c r="B21"/>
      <c r="C21" s="183">
        <v>7068505</v>
      </c>
      <c r="D21" s="196"/>
      <c r="E21" s="183">
        <v>196508451093</v>
      </c>
      <c r="F21" s="183"/>
      <c r="G21" s="183">
        <v>195455551596</v>
      </c>
      <c r="H21" s="183"/>
      <c r="I21" s="183">
        <f t="shared" si="0"/>
        <v>1052899497</v>
      </c>
      <c r="J21" s="183"/>
      <c r="K21" s="183">
        <f>C21+4657852</f>
        <v>11726357</v>
      </c>
      <c r="L21" s="196"/>
      <c r="M21" s="183">
        <f>E21+122902949497</f>
        <v>319411400590</v>
      </c>
      <c r="N21" s="183"/>
      <c r="O21" s="183">
        <f>G21+120968873810</f>
        <v>316424425406</v>
      </c>
      <c r="P21" s="183"/>
      <c r="Q21" s="183">
        <f t="shared" si="1"/>
        <v>2986975184</v>
      </c>
      <c r="R21" s="288"/>
    </row>
    <row r="22" spans="1:27" ht="30" customHeight="1">
      <c r="A22" s="4" t="s">
        <v>223</v>
      </c>
      <c r="B22"/>
      <c r="C22" s="183">
        <v>0</v>
      </c>
      <c r="D22" s="196"/>
      <c r="E22" s="183">
        <v>0</v>
      </c>
      <c r="F22" s="183"/>
      <c r="G22" s="183">
        <v>0</v>
      </c>
      <c r="H22" s="183"/>
      <c r="I22" s="183">
        <f t="shared" si="0"/>
        <v>0</v>
      </c>
      <c r="J22" s="183"/>
      <c r="K22" s="183">
        <v>100</v>
      </c>
      <c r="L22" s="183"/>
      <c r="M22" s="183">
        <v>3296522</v>
      </c>
      <c r="N22" s="183"/>
      <c r="O22" s="183">
        <v>3288301</v>
      </c>
      <c r="P22" s="183"/>
      <c r="Q22" s="183">
        <f t="shared" si="1"/>
        <v>8221</v>
      </c>
      <c r="R22" s="288"/>
    </row>
    <row r="23" spans="1:27" ht="30" customHeight="1">
      <c r="A23" s="4" t="s">
        <v>226</v>
      </c>
      <c r="B23"/>
      <c r="C23" s="183">
        <v>0</v>
      </c>
      <c r="D23" s="196"/>
      <c r="E23" s="183">
        <v>0</v>
      </c>
      <c r="F23" s="183"/>
      <c r="G23" s="183">
        <v>0</v>
      </c>
      <c r="H23" s="183"/>
      <c r="I23" s="183">
        <f t="shared" si="0"/>
        <v>0</v>
      </c>
      <c r="J23" s="183"/>
      <c r="K23" s="183">
        <v>424</v>
      </c>
      <c r="L23" s="183"/>
      <c r="M23" s="183">
        <v>1156536</v>
      </c>
      <c r="N23" s="183"/>
      <c r="O23" s="183">
        <v>976084</v>
      </c>
      <c r="P23" s="183"/>
      <c r="Q23" s="183">
        <f t="shared" si="1"/>
        <v>180452</v>
      </c>
      <c r="R23" s="288"/>
    </row>
    <row r="24" spans="1:27" ht="30" customHeight="1">
      <c r="A24" s="4" t="s">
        <v>227</v>
      </c>
      <c r="B24"/>
      <c r="C24" s="183">
        <v>0</v>
      </c>
      <c r="D24" s="196"/>
      <c r="E24" s="183">
        <v>0</v>
      </c>
      <c r="F24" s="183"/>
      <c r="G24" s="183">
        <v>0</v>
      </c>
      <c r="H24" s="183"/>
      <c r="I24" s="183">
        <f t="shared" si="0"/>
        <v>0</v>
      </c>
      <c r="J24" s="183"/>
      <c r="K24" s="183">
        <v>66</v>
      </c>
      <c r="L24" s="183"/>
      <c r="M24" s="183">
        <v>631147</v>
      </c>
      <c r="N24" s="183"/>
      <c r="O24" s="183">
        <v>489567</v>
      </c>
      <c r="P24" s="183"/>
      <c r="Q24" s="183">
        <f t="shared" si="1"/>
        <v>141580</v>
      </c>
      <c r="R24" s="288"/>
    </row>
    <row r="25" spans="1:27" ht="30" customHeight="1">
      <c r="A25" s="4" t="s">
        <v>228</v>
      </c>
      <c r="B25"/>
      <c r="C25" s="183">
        <v>0</v>
      </c>
      <c r="D25" s="196"/>
      <c r="E25" s="183">
        <v>0</v>
      </c>
      <c r="F25" s="183"/>
      <c r="G25" s="183">
        <v>0</v>
      </c>
      <c r="H25" s="183"/>
      <c r="I25" s="183">
        <f t="shared" si="0"/>
        <v>0</v>
      </c>
      <c r="J25" s="183"/>
      <c r="K25" s="183">
        <v>124</v>
      </c>
      <c r="L25" s="183"/>
      <c r="M25" s="183">
        <v>2191603</v>
      </c>
      <c r="N25" s="183"/>
      <c r="O25" s="183">
        <v>1675552</v>
      </c>
      <c r="P25" s="183"/>
      <c r="Q25" s="183">
        <f t="shared" si="1"/>
        <v>516051</v>
      </c>
      <c r="R25" s="288"/>
    </row>
    <row r="26" spans="1:27" ht="30" customHeight="1">
      <c r="A26" s="4" t="s">
        <v>196</v>
      </c>
      <c r="B26"/>
      <c r="C26" s="183">
        <v>0</v>
      </c>
      <c r="D26" s="196"/>
      <c r="E26" s="183">
        <v>0</v>
      </c>
      <c r="F26" s="183"/>
      <c r="G26" s="183">
        <v>0</v>
      </c>
      <c r="H26" s="183"/>
      <c r="I26" s="183">
        <f t="shared" si="0"/>
        <v>0</v>
      </c>
      <c r="J26" s="183"/>
      <c r="K26" s="183">
        <v>94</v>
      </c>
      <c r="L26" s="183"/>
      <c r="M26" s="183">
        <v>5134572</v>
      </c>
      <c r="N26" s="183"/>
      <c r="O26" s="183">
        <v>4433761</v>
      </c>
      <c r="P26" s="183"/>
      <c r="Q26" s="183">
        <f t="shared" si="1"/>
        <v>700811</v>
      </c>
      <c r="R26" s="288"/>
    </row>
    <row r="27" spans="1:27" ht="30" customHeight="1">
      <c r="A27" s="4" t="s">
        <v>200</v>
      </c>
      <c r="B27"/>
      <c r="C27" s="183">
        <v>0</v>
      </c>
      <c r="D27" s="196"/>
      <c r="E27" s="183">
        <v>0</v>
      </c>
      <c r="F27" s="183"/>
      <c r="G27" s="183">
        <v>0</v>
      </c>
      <c r="H27" s="183"/>
      <c r="I27" s="183">
        <f t="shared" si="0"/>
        <v>0</v>
      </c>
      <c r="J27" s="183"/>
      <c r="K27" s="183">
        <v>81</v>
      </c>
      <c r="L27" s="183"/>
      <c r="M27" s="183">
        <v>827730</v>
      </c>
      <c r="N27" s="183"/>
      <c r="O27" s="183">
        <v>726272</v>
      </c>
      <c r="P27" s="183"/>
      <c r="Q27" s="183">
        <f t="shared" si="1"/>
        <v>101458</v>
      </c>
      <c r="R27" s="288"/>
    </row>
    <row r="28" spans="1:27" ht="30" customHeight="1">
      <c r="A28" s="4" t="s">
        <v>199</v>
      </c>
      <c r="B28"/>
      <c r="C28" s="183">
        <v>0</v>
      </c>
      <c r="D28" s="196"/>
      <c r="E28" s="183">
        <v>0</v>
      </c>
      <c r="F28" s="183"/>
      <c r="G28" s="183">
        <v>0</v>
      </c>
      <c r="H28" s="183"/>
      <c r="I28" s="183">
        <f t="shared" si="0"/>
        <v>0</v>
      </c>
      <c r="J28" s="183"/>
      <c r="K28" s="183">
        <v>1167416</v>
      </c>
      <c r="L28" s="183"/>
      <c r="M28" s="183">
        <v>1477817545</v>
      </c>
      <c r="N28" s="183"/>
      <c r="O28" s="183">
        <v>1573597150</v>
      </c>
      <c r="P28" s="183"/>
      <c r="Q28" s="161">
        <f t="shared" si="1"/>
        <v>-95779605</v>
      </c>
      <c r="R28" s="288"/>
    </row>
    <row r="29" spans="1:27" ht="30" customHeight="1">
      <c r="A29" s="4" t="s">
        <v>198</v>
      </c>
      <c r="B29"/>
      <c r="C29" s="183">
        <v>0</v>
      </c>
      <c r="D29" s="196"/>
      <c r="E29" s="183">
        <v>0</v>
      </c>
      <c r="F29" s="183"/>
      <c r="G29" s="183">
        <v>0</v>
      </c>
      <c r="H29" s="183"/>
      <c r="I29" s="183">
        <f t="shared" si="0"/>
        <v>0</v>
      </c>
      <c r="J29" s="183"/>
      <c r="K29" s="183">
        <v>179</v>
      </c>
      <c r="L29" s="183"/>
      <c r="M29" s="183">
        <v>3272227</v>
      </c>
      <c r="N29" s="183"/>
      <c r="O29" s="183">
        <v>3085392</v>
      </c>
      <c r="P29" s="183"/>
      <c r="Q29" s="183">
        <f t="shared" si="1"/>
        <v>186835</v>
      </c>
      <c r="R29" s="288"/>
    </row>
    <row r="30" spans="1:27" ht="30" customHeight="1">
      <c r="A30" s="4" t="s">
        <v>229</v>
      </c>
      <c r="B30"/>
      <c r="C30" s="183">
        <v>0</v>
      </c>
      <c r="D30" s="196"/>
      <c r="E30" s="183">
        <v>0</v>
      </c>
      <c r="F30" s="183"/>
      <c r="G30" s="183">
        <v>0</v>
      </c>
      <c r="H30" s="183"/>
      <c r="I30" s="183">
        <f t="shared" si="0"/>
        <v>0</v>
      </c>
      <c r="J30" s="183"/>
      <c r="K30" s="183">
        <v>234</v>
      </c>
      <c r="L30" s="183"/>
      <c r="M30" s="183">
        <v>1025972</v>
      </c>
      <c r="N30" s="183"/>
      <c r="O30" s="183">
        <v>797490</v>
      </c>
      <c r="P30" s="183"/>
      <c r="Q30" s="183">
        <f t="shared" si="1"/>
        <v>228482</v>
      </c>
      <c r="R30" s="288"/>
    </row>
    <row r="31" spans="1:27" ht="30" customHeight="1">
      <c r="A31" s="4" t="s">
        <v>233</v>
      </c>
      <c r="B31"/>
      <c r="C31" s="183">
        <v>0</v>
      </c>
      <c r="D31" s="196"/>
      <c r="E31" s="183">
        <v>0</v>
      </c>
      <c r="F31" s="196"/>
      <c r="G31" s="183">
        <v>0</v>
      </c>
      <c r="H31" s="196"/>
      <c r="I31" s="161">
        <f t="shared" si="0"/>
        <v>0</v>
      </c>
      <c r="J31" s="196"/>
      <c r="K31" s="183">
        <v>386</v>
      </c>
      <c r="L31" s="196"/>
      <c r="M31" s="183">
        <v>1378265</v>
      </c>
      <c r="N31" s="196"/>
      <c r="O31" s="183">
        <v>1065166</v>
      </c>
      <c r="P31" s="196"/>
      <c r="Q31" s="161">
        <f t="shared" si="1"/>
        <v>313099</v>
      </c>
      <c r="R31" s="288"/>
      <c r="T31" s="135"/>
      <c r="U31" s="136"/>
      <c r="V31" s="135"/>
      <c r="W31" s="137"/>
      <c r="X31" s="137"/>
      <c r="Y31" s="135"/>
      <c r="Z31" s="137"/>
      <c r="AA31" s="137"/>
    </row>
    <row r="32" spans="1:27" ht="30" customHeight="1">
      <c r="A32" s="4" t="s">
        <v>197</v>
      </c>
      <c r="B32"/>
      <c r="C32" s="183">
        <v>0</v>
      </c>
      <c r="D32" s="196"/>
      <c r="E32" s="183">
        <v>0</v>
      </c>
      <c r="F32" s="196"/>
      <c r="G32" s="183">
        <v>0</v>
      </c>
      <c r="H32" s="196"/>
      <c r="I32" s="161">
        <f t="shared" si="0"/>
        <v>0</v>
      </c>
      <c r="J32" s="196"/>
      <c r="K32" s="183">
        <v>75</v>
      </c>
      <c r="L32" s="196"/>
      <c r="M32" s="183">
        <v>1299476</v>
      </c>
      <c r="N32" s="196"/>
      <c r="O32" s="183">
        <v>864823</v>
      </c>
      <c r="P32" s="196"/>
      <c r="Q32" s="161">
        <f t="shared" si="1"/>
        <v>434653</v>
      </c>
      <c r="R32" s="78"/>
      <c r="T32" s="135"/>
      <c r="U32" s="136"/>
      <c r="V32" s="137"/>
      <c r="W32" s="137"/>
      <c r="X32" s="137"/>
      <c r="Y32" s="135"/>
      <c r="Z32" s="135"/>
      <c r="AA32" s="137"/>
    </row>
    <row r="33" spans="1:27" ht="30" customHeight="1">
      <c r="A33" s="4" t="s">
        <v>201</v>
      </c>
      <c r="B33"/>
      <c r="C33" s="183">
        <v>15990</v>
      </c>
      <c r="D33" s="196"/>
      <c r="E33" s="183">
        <v>13673189492</v>
      </c>
      <c r="F33" s="196"/>
      <c r="G33" s="183">
        <v>12515898932</v>
      </c>
      <c r="H33" s="196"/>
      <c r="I33" s="161">
        <f t="shared" si="0"/>
        <v>1157290560</v>
      </c>
      <c r="J33" s="196"/>
      <c r="K33" s="183">
        <f>C33+240771</f>
        <v>256761</v>
      </c>
      <c r="L33" s="196"/>
      <c r="M33" s="183">
        <f>E33+193573284936</f>
        <v>207246474428</v>
      </c>
      <c r="N33" s="196"/>
      <c r="O33" s="183">
        <f>G33+188459380969</f>
        <v>200975279901</v>
      </c>
      <c r="P33" s="196"/>
      <c r="Q33" s="161">
        <f t="shared" si="1"/>
        <v>6271194527</v>
      </c>
      <c r="R33" s="170"/>
      <c r="T33" s="135"/>
      <c r="U33" s="136"/>
      <c r="V33" s="137"/>
      <c r="W33" s="137"/>
      <c r="X33" s="137"/>
      <c r="Y33" s="135"/>
      <c r="Z33" s="135"/>
      <c r="AA33" s="137"/>
    </row>
    <row r="34" spans="1:27" ht="30" customHeight="1">
      <c r="A34" s="4" t="s">
        <v>45</v>
      </c>
      <c r="B34"/>
      <c r="C34" s="183">
        <v>85</v>
      </c>
      <c r="D34" s="196"/>
      <c r="E34" s="183">
        <v>53790152</v>
      </c>
      <c r="F34" s="196"/>
      <c r="G34" s="183">
        <v>49736130</v>
      </c>
      <c r="H34" s="196"/>
      <c r="I34" s="161">
        <f t="shared" si="0"/>
        <v>4054022</v>
      </c>
      <c r="J34" s="196"/>
      <c r="K34" s="183">
        <f>C34+10133</f>
        <v>10218</v>
      </c>
      <c r="L34" s="196"/>
      <c r="M34" s="183">
        <f>E34+5928423079</f>
        <v>5982213231</v>
      </c>
      <c r="N34" s="196"/>
      <c r="O34" s="183">
        <f>G34+5929129355</f>
        <v>5978865485</v>
      </c>
      <c r="P34" s="196"/>
      <c r="Q34" s="161">
        <f t="shared" si="1"/>
        <v>3347746</v>
      </c>
      <c r="R34" s="170"/>
      <c r="T34" s="135"/>
      <c r="U34" s="136"/>
      <c r="V34" s="135"/>
      <c r="W34" s="137"/>
      <c r="X34" s="137"/>
      <c r="Y34" s="137"/>
      <c r="Z34" s="137"/>
      <c r="AA34" s="137"/>
    </row>
    <row r="35" spans="1:27" ht="30" customHeight="1">
      <c r="A35" s="4" t="s">
        <v>107</v>
      </c>
      <c r="B35"/>
      <c r="C35" s="183">
        <v>8133</v>
      </c>
      <c r="D35" s="196"/>
      <c r="E35" s="183">
        <v>6806124692</v>
      </c>
      <c r="F35" s="196"/>
      <c r="G35" s="183">
        <v>6357091514</v>
      </c>
      <c r="H35" s="196"/>
      <c r="I35" s="161">
        <f t="shared" si="0"/>
        <v>449033178</v>
      </c>
      <c r="J35" s="196"/>
      <c r="K35" s="183">
        <f>C35+86025</f>
        <v>94158</v>
      </c>
      <c r="L35" s="196"/>
      <c r="M35" s="183">
        <f>E35+68681854728</f>
        <v>75487979420</v>
      </c>
      <c r="N35" s="196"/>
      <c r="O35" s="183">
        <f>G35+67240722664</f>
        <v>73597814178</v>
      </c>
      <c r="P35" s="196"/>
      <c r="Q35" s="161">
        <f t="shared" si="1"/>
        <v>1890165242</v>
      </c>
      <c r="R35" s="170"/>
      <c r="T35" s="135"/>
      <c r="U35" s="136"/>
      <c r="V35" s="137"/>
      <c r="W35" s="137"/>
      <c r="X35" s="137"/>
      <c r="Y35" s="137"/>
      <c r="Z35" s="137"/>
      <c r="AA35" s="137"/>
    </row>
    <row r="36" spans="1:27" ht="30" customHeight="1">
      <c r="A36" s="4" t="s">
        <v>240</v>
      </c>
      <c r="B36"/>
      <c r="C36" s="183">
        <v>0</v>
      </c>
      <c r="D36" s="196"/>
      <c r="E36" s="183">
        <v>0</v>
      </c>
      <c r="F36" s="196"/>
      <c r="G36" s="183">
        <v>0</v>
      </c>
      <c r="H36" s="196"/>
      <c r="I36" s="161">
        <f t="shared" si="0"/>
        <v>0</v>
      </c>
      <c r="J36" s="196"/>
      <c r="K36" s="183">
        <v>20701</v>
      </c>
      <c r="L36" s="196"/>
      <c r="M36" s="183">
        <v>19692189586</v>
      </c>
      <c r="N36" s="196"/>
      <c r="O36" s="183">
        <v>19697576130</v>
      </c>
      <c r="P36" s="196"/>
      <c r="Q36" s="161">
        <f t="shared" si="1"/>
        <v>-5386544</v>
      </c>
      <c r="R36" s="170"/>
      <c r="T36" s="135"/>
      <c r="U36" s="136"/>
      <c r="V36" s="137"/>
      <c r="W36" s="137"/>
      <c r="X36" s="137"/>
      <c r="Y36" s="137"/>
      <c r="Z36" s="135"/>
      <c r="AA36" s="137"/>
    </row>
    <row r="37" spans="1:27" ht="30" customHeight="1">
      <c r="A37" s="4" t="s">
        <v>53</v>
      </c>
      <c r="B37"/>
      <c r="C37" s="183">
        <v>0</v>
      </c>
      <c r="D37" s="196"/>
      <c r="E37" s="183">
        <v>0</v>
      </c>
      <c r="F37" s="196"/>
      <c r="G37" s="183">
        <v>0</v>
      </c>
      <c r="H37" s="196"/>
      <c r="I37" s="161">
        <f t="shared" si="0"/>
        <v>0</v>
      </c>
      <c r="J37" s="196"/>
      <c r="K37" s="183">
        <v>430000</v>
      </c>
      <c r="L37" s="196"/>
      <c r="M37" s="183">
        <v>430000000000</v>
      </c>
      <c r="N37" s="183">
        <v>430000000000</v>
      </c>
      <c r="O37" s="183">
        <v>422183465375</v>
      </c>
      <c r="P37" s="196"/>
      <c r="Q37" s="161">
        <f t="shared" si="1"/>
        <v>7816534625</v>
      </c>
      <c r="R37" s="170"/>
      <c r="T37" s="135"/>
      <c r="U37" s="136"/>
      <c r="V37" s="137"/>
      <c r="W37" s="137"/>
      <c r="X37" s="137"/>
      <c r="Y37" s="137"/>
      <c r="Z37" s="137"/>
      <c r="AA37" s="137"/>
    </row>
    <row r="38" spans="1:27" ht="30" customHeight="1">
      <c r="A38" s="4" t="s">
        <v>42</v>
      </c>
      <c r="B38"/>
      <c r="C38" s="183">
        <v>0</v>
      </c>
      <c r="D38" s="196"/>
      <c r="E38" s="183">
        <v>0</v>
      </c>
      <c r="F38" s="196"/>
      <c r="G38" s="183">
        <v>0</v>
      </c>
      <c r="H38" s="196"/>
      <c r="I38" s="161">
        <f t="shared" si="0"/>
        <v>0</v>
      </c>
      <c r="J38" s="196"/>
      <c r="K38" s="183">
        <v>1000</v>
      </c>
      <c r="L38" s="196"/>
      <c r="M38" s="183">
        <v>679956736</v>
      </c>
      <c r="N38" s="196"/>
      <c r="O38" s="183">
        <v>668370569</v>
      </c>
      <c r="P38" s="196"/>
      <c r="Q38" s="161">
        <f t="shared" si="1"/>
        <v>11586167</v>
      </c>
      <c r="R38" s="78"/>
      <c r="T38" s="135"/>
      <c r="U38" s="136"/>
      <c r="V38" s="137"/>
      <c r="W38" s="137"/>
      <c r="X38" s="137"/>
      <c r="Y38" s="137"/>
      <c r="Z38" s="137"/>
      <c r="AA38" s="137"/>
    </row>
    <row r="39" spans="1:27" ht="30" customHeight="1">
      <c r="A39" s="4" t="s">
        <v>36</v>
      </c>
      <c r="B39"/>
      <c r="C39" s="183">
        <v>6000</v>
      </c>
      <c r="D39" s="196"/>
      <c r="E39" s="183">
        <v>3931287326</v>
      </c>
      <c r="F39" s="196"/>
      <c r="G39" s="183">
        <v>3668669724</v>
      </c>
      <c r="H39" s="196"/>
      <c r="I39" s="161">
        <f t="shared" si="0"/>
        <v>262617602</v>
      </c>
      <c r="J39" s="196"/>
      <c r="K39" s="183">
        <f>C39+72000</f>
        <v>78000</v>
      </c>
      <c r="L39" s="196"/>
      <c r="M39" s="183">
        <f>E39+44572469789</f>
        <v>48503757115</v>
      </c>
      <c r="N39" s="196"/>
      <c r="O39" s="183">
        <f>G39+43998716050</f>
        <v>47667385774</v>
      </c>
      <c r="P39" s="196"/>
      <c r="Q39" s="161">
        <f t="shared" si="1"/>
        <v>836371341</v>
      </c>
      <c r="R39" s="170"/>
      <c r="T39" s="135"/>
      <c r="U39" s="136"/>
      <c r="V39" s="135"/>
      <c r="W39" s="137"/>
      <c r="X39" s="137"/>
      <c r="Y39" s="137"/>
      <c r="Z39" s="137"/>
      <c r="AA39" s="137"/>
    </row>
    <row r="40" spans="1:27" ht="30" customHeight="1">
      <c r="A40" s="4" t="s">
        <v>40</v>
      </c>
      <c r="B40"/>
      <c r="C40" s="183">
        <v>0</v>
      </c>
      <c r="D40" s="196"/>
      <c r="E40" s="183">
        <v>0</v>
      </c>
      <c r="F40" s="196"/>
      <c r="G40" s="183">
        <v>0</v>
      </c>
      <c r="H40" s="196"/>
      <c r="I40" s="161">
        <f t="shared" si="0"/>
        <v>0</v>
      </c>
      <c r="J40" s="196"/>
      <c r="K40" s="183">
        <v>52758</v>
      </c>
      <c r="L40" s="196"/>
      <c r="M40" s="183">
        <v>30599594416</v>
      </c>
      <c r="N40" s="196"/>
      <c r="O40" s="183">
        <v>29937063821</v>
      </c>
      <c r="P40" s="196"/>
      <c r="Q40" s="161">
        <f t="shared" si="1"/>
        <v>662530595</v>
      </c>
      <c r="R40" s="78"/>
      <c r="T40" s="135"/>
      <c r="U40" s="136"/>
      <c r="V40" s="137"/>
      <c r="W40" s="137"/>
      <c r="X40" s="137"/>
      <c r="Y40" s="137"/>
      <c r="Z40" s="137"/>
      <c r="AA40" s="137"/>
    </row>
    <row r="41" spans="1:27" ht="30" customHeight="1">
      <c r="A41" s="4" t="s">
        <v>64</v>
      </c>
      <c r="B41"/>
      <c r="C41" s="183">
        <v>14000</v>
      </c>
      <c r="D41" s="196"/>
      <c r="E41" s="183">
        <v>8888388690</v>
      </c>
      <c r="F41" s="196"/>
      <c r="G41" s="183">
        <v>8325064964</v>
      </c>
      <c r="H41" s="196"/>
      <c r="I41" s="161">
        <f t="shared" si="0"/>
        <v>563323726</v>
      </c>
      <c r="J41" s="196"/>
      <c r="K41" s="183">
        <f>C41+162055</f>
        <v>176055</v>
      </c>
      <c r="L41" s="196"/>
      <c r="M41" s="183">
        <f>E41+95667599466</f>
        <v>104555988156</v>
      </c>
      <c r="N41" s="196"/>
      <c r="O41" s="183">
        <f>G41+94680779244</f>
        <v>103005844208</v>
      </c>
      <c r="P41" s="196"/>
      <c r="Q41" s="161">
        <f t="shared" si="1"/>
        <v>1550143948</v>
      </c>
      <c r="R41" s="170"/>
      <c r="T41" s="135"/>
      <c r="U41" s="136"/>
      <c r="V41" s="137"/>
      <c r="W41" s="137"/>
      <c r="X41" s="137"/>
      <c r="Y41" s="137"/>
      <c r="Z41" s="137"/>
      <c r="AA41" s="137"/>
    </row>
    <row r="42" spans="1:27" ht="30" customHeight="1">
      <c r="A42" s="4" t="s">
        <v>171</v>
      </c>
      <c r="B42"/>
      <c r="C42" s="183">
        <v>518</v>
      </c>
      <c r="D42" s="196"/>
      <c r="E42" s="183">
        <v>405106346</v>
      </c>
      <c r="F42" s="196"/>
      <c r="G42" s="183">
        <v>377121169</v>
      </c>
      <c r="H42" s="196"/>
      <c r="I42" s="161">
        <f t="shared" si="0"/>
        <v>27985177</v>
      </c>
      <c r="J42" s="196"/>
      <c r="K42" s="183">
        <f>C42+263077</f>
        <v>263595</v>
      </c>
      <c r="L42" s="196"/>
      <c r="M42" s="183">
        <f>E42+195748775496</f>
        <v>196153881842</v>
      </c>
      <c r="N42" s="196"/>
      <c r="O42" s="183">
        <f>G42+191516951855</f>
        <v>191894073024</v>
      </c>
      <c r="P42" s="196"/>
      <c r="Q42" s="161">
        <f t="shared" si="1"/>
        <v>4259808818</v>
      </c>
      <c r="R42" s="170"/>
      <c r="T42" s="398"/>
      <c r="U42" s="398"/>
      <c r="V42" s="133"/>
      <c r="W42" s="137"/>
      <c r="X42" s="137"/>
      <c r="Y42" s="137"/>
      <c r="Z42" s="137"/>
      <c r="AA42" s="137"/>
    </row>
    <row r="43" spans="1:27" ht="30" customHeight="1">
      <c r="A43" s="4" t="s">
        <v>146</v>
      </c>
      <c r="B43"/>
      <c r="C43" s="183">
        <v>0</v>
      </c>
      <c r="D43" s="196"/>
      <c r="E43" s="183">
        <v>0</v>
      </c>
      <c r="F43" s="196"/>
      <c r="G43" s="183">
        <v>0</v>
      </c>
      <c r="H43" s="196"/>
      <c r="I43" s="161">
        <f t="shared" si="0"/>
        <v>0</v>
      </c>
      <c r="J43" s="196"/>
      <c r="K43" s="183">
        <v>38076</v>
      </c>
      <c r="L43" s="196"/>
      <c r="M43" s="183">
        <v>21578210853</v>
      </c>
      <c r="N43" s="196"/>
      <c r="O43" s="183">
        <v>21268630645</v>
      </c>
      <c r="P43" s="196"/>
      <c r="Q43" s="161">
        <f t="shared" si="1"/>
        <v>309580208</v>
      </c>
      <c r="R43" s="78"/>
    </row>
    <row r="44" spans="1:27" ht="30" customHeight="1">
      <c r="A44" s="4" t="s">
        <v>178</v>
      </c>
      <c r="B44"/>
      <c r="C44" s="183">
        <v>0</v>
      </c>
      <c r="D44" s="196"/>
      <c r="E44" s="183">
        <v>0</v>
      </c>
      <c r="F44" s="196"/>
      <c r="G44" s="183">
        <v>0</v>
      </c>
      <c r="H44" s="196"/>
      <c r="I44" s="161">
        <f t="shared" si="0"/>
        <v>0</v>
      </c>
      <c r="J44" s="196"/>
      <c r="K44" s="183">
        <v>5000</v>
      </c>
      <c r="L44" s="196"/>
      <c r="M44" s="183">
        <v>4774134532</v>
      </c>
      <c r="N44" s="196"/>
      <c r="O44" s="183">
        <v>4706046874</v>
      </c>
      <c r="P44" s="196"/>
      <c r="Q44" s="161">
        <f t="shared" si="1"/>
        <v>68087658</v>
      </c>
      <c r="R44" s="78"/>
    </row>
    <row r="45" spans="1:27" s="37" customFormat="1" ht="30" customHeight="1">
      <c r="A45" s="4" t="s">
        <v>230</v>
      </c>
      <c r="C45" s="183">
        <v>0</v>
      </c>
      <c r="E45" s="183">
        <v>0</v>
      </c>
      <c r="G45" s="183">
        <v>0</v>
      </c>
      <c r="I45" s="161">
        <f t="shared" si="0"/>
        <v>0</v>
      </c>
      <c r="J45" s="183"/>
      <c r="K45" s="183">
        <v>50000</v>
      </c>
      <c r="L45" s="183"/>
      <c r="M45" s="183">
        <v>28756286980</v>
      </c>
      <c r="N45" s="183"/>
      <c r="O45" s="183">
        <v>28555174687</v>
      </c>
      <c r="P45" s="183"/>
      <c r="Q45" s="161">
        <f t="shared" si="1"/>
        <v>201112293</v>
      </c>
    </row>
    <row r="46" spans="1:27" ht="30" customHeight="1">
      <c r="A46" s="4" t="s">
        <v>59</v>
      </c>
      <c r="B46"/>
      <c r="C46" s="183">
        <v>0</v>
      </c>
      <c r="D46" s="196"/>
      <c r="E46" s="183">
        <v>0</v>
      </c>
      <c r="F46" s="196"/>
      <c r="G46" s="183">
        <v>0</v>
      </c>
      <c r="H46" s="196"/>
      <c r="I46" s="161">
        <f t="shared" si="0"/>
        <v>0</v>
      </c>
      <c r="J46" s="196"/>
      <c r="K46" s="183">
        <v>65000</v>
      </c>
      <c r="L46" s="196"/>
      <c r="M46" s="183">
        <v>60419047063</v>
      </c>
      <c r="N46" s="196"/>
      <c r="O46" s="183">
        <v>60114102344</v>
      </c>
      <c r="P46" s="196"/>
      <c r="Q46" s="161">
        <f t="shared" si="1"/>
        <v>304944719</v>
      </c>
      <c r="R46" s="170"/>
    </row>
    <row r="47" spans="1:27" ht="30" customHeight="1" thickBot="1">
      <c r="A47" s="11" t="s">
        <v>12</v>
      </c>
      <c r="B47" s="173"/>
      <c r="C47" s="174">
        <f>SUM(C7:C46)</f>
        <v>16120355</v>
      </c>
      <c r="D47" s="213"/>
      <c r="E47" s="174">
        <f>SUM(E7:E46)</f>
        <v>507058761215</v>
      </c>
      <c r="F47" s="213"/>
      <c r="G47" s="174">
        <f>SUM(G7:G46)</f>
        <v>471095546488</v>
      </c>
      <c r="H47" s="213"/>
      <c r="I47" s="246">
        <f>SUM(I7:I46)</f>
        <v>35963214727</v>
      </c>
      <c r="J47" s="213"/>
      <c r="K47" s="174">
        <f>SUM(K7:K46)</f>
        <v>31686990</v>
      </c>
      <c r="L47" s="213"/>
      <c r="M47" s="174">
        <f>SUM(M7:M46)</f>
        <v>1966572206415</v>
      </c>
      <c r="N47" s="213"/>
      <c r="O47" s="174">
        <f>SUM(O7:O46)</f>
        <v>1902302089038</v>
      </c>
      <c r="P47" s="213"/>
      <c r="Q47" s="246">
        <f>SUM(Q7:Q46)</f>
        <v>64270117377</v>
      </c>
      <c r="R47" s="142"/>
    </row>
    <row r="48" spans="1:27" ht="30" customHeight="1" thickTop="1"/>
  </sheetData>
  <mergeCells count="10">
    <mergeCell ref="T6:V6"/>
    <mergeCell ref="T42:U42"/>
    <mergeCell ref="A1:Q1"/>
    <mergeCell ref="A2:R2"/>
    <mergeCell ref="A3:R3"/>
    <mergeCell ref="A4:R4"/>
    <mergeCell ref="A5:A6"/>
    <mergeCell ref="C5:I5"/>
    <mergeCell ref="K5:R5"/>
    <mergeCell ref="Q6:R6"/>
  </mergeCells>
  <pageMargins left="0.39" right="0.39" top="0.39" bottom="0.39" header="0" footer="0"/>
  <pageSetup paperSize="9" scale="69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8" tint="-0.249977111117893"/>
    <pageSetUpPr fitToPage="1"/>
  </sheetPr>
  <dimension ref="A1:Q50"/>
  <sheetViews>
    <sheetView rightToLeft="1" view="pageBreakPreview" zoomScaleNormal="100" zoomScaleSheetLayoutView="100" workbookViewId="0">
      <selection activeCell="N1" sqref="N1"/>
    </sheetView>
  </sheetViews>
  <sheetFormatPr defaultRowHeight="12.75"/>
  <cols>
    <col min="1" max="1" width="57.42578125" bestFit="1" customWidth="1"/>
    <col min="2" max="2" width="0.5703125" customWidth="1"/>
    <col min="3" max="3" width="19.140625" bestFit="1" customWidth="1"/>
    <col min="4" max="4" width="0.85546875" customWidth="1"/>
    <col min="5" max="5" width="17.140625" style="244" bestFit="1" customWidth="1"/>
    <col min="6" max="6" width="1.28515625" customWidth="1"/>
    <col min="7" max="7" width="18.5703125" style="58" bestFit="1" customWidth="1"/>
    <col min="8" max="8" width="1.28515625" customWidth="1"/>
    <col min="9" max="9" width="18.28515625" bestFit="1" customWidth="1"/>
    <col min="10" max="10" width="1.28515625" customWidth="1"/>
    <col min="11" max="11" width="14.85546875" style="199" bestFit="1" customWidth="1"/>
    <col min="12" max="12" width="1.28515625" customWidth="1"/>
    <col min="13" max="13" width="19.140625" style="58" bestFit="1" customWidth="1"/>
    <col min="14" max="14" width="78.5703125" customWidth="1"/>
    <col min="16" max="17" width="17.28515625" style="34" bestFit="1" customWidth="1"/>
  </cols>
  <sheetData>
    <row r="1" spans="1:17" s="12" customFormat="1" ht="30" customHeight="1">
      <c r="A1" s="343" t="s">
        <v>0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/>
      <c r="O1"/>
      <c r="P1" s="34"/>
      <c r="Q1" s="34"/>
    </row>
    <row r="2" spans="1:17" s="12" customFormat="1" ht="30" customHeight="1">
      <c r="A2" s="343" t="s">
        <v>88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/>
      <c r="O2"/>
      <c r="P2" s="34"/>
      <c r="Q2" s="34"/>
    </row>
    <row r="3" spans="1:17" s="12" customFormat="1" ht="30" customHeight="1">
      <c r="A3" s="343" t="s">
        <v>283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P3" s="99"/>
      <c r="Q3" s="99"/>
    </row>
    <row r="4" spans="1:17" s="13" customFormat="1" ht="30" customHeight="1">
      <c r="A4" s="342" t="s">
        <v>132</v>
      </c>
      <c r="B4" s="342"/>
      <c r="C4" s="342"/>
      <c r="D4" s="342"/>
      <c r="E4" s="342"/>
      <c r="F4" s="342"/>
      <c r="G4" s="342"/>
      <c r="H4" s="342"/>
      <c r="I4" s="342"/>
      <c r="J4" s="342"/>
      <c r="K4" s="342"/>
      <c r="L4" s="342"/>
      <c r="M4" s="342"/>
      <c r="N4" s="12"/>
      <c r="O4" s="12"/>
      <c r="P4" s="99"/>
      <c r="Q4" s="99"/>
    </row>
    <row r="5" spans="1:17" s="12" customFormat="1" ht="25.5" customHeight="1">
      <c r="A5" s="344" t="s">
        <v>89</v>
      </c>
      <c r="C5" s="344" t="s">
        <v>99</v>
      </c>
      <c r="D5" s="344"/>
      <c r="E5" s="344"/>
      <c r="F5" s="344"/>
      <c r="G5" s="344"/>
      <c r="I5" s="344" t="str">
        <f>'درآمد سرمایه گذاری در سهام'!$M$5</f>
        <v>از ابتدای سال مالی تا پایان ماه</v>
      </c>
      <c r="J5" s="344"/>
      <c r="K5" s="344"/>
      <c r="L5" s="344"/>
      <c r="M5" s="344"/>
      <c r="N5" s="138"/>
      <c r="P5" s="99"/>
      <c r="Q5" s="99"/>
    </row>
    <row r="6" spans="1:17" s="12" customFormat="1" ht="24" customHeight="1">
      <c r="A6" s="344"/>
      <c r="C6" s="6" t="s">
        <v>129</v>
      </c>
      <c r="D6" s="26"/>
      <c r="E6" s="240" t="s">
        <v>124</v>
      </c>
      <c r="F6" s="26"/>
      <c r="G6" s="61" t="s">
        <v>130</v>
      </c>
      <c r="I6" s="6" t="s">
        <v>129</v>
      </c>
      <c r="J6" s="26"/>
      <c r="K6" s="200" t="s">
        <v>124</v>
      </c>
      <c r="L6" s="26"/>
      <c r="M6" s="61" t="s">
        <v>130</v>
      </c>
      <c r="N6" s="139"/>
      <c r="O6" s="13"/>
      <c r="P6" s="118"/>
      <c r="Q6" s="118"/>
    </row>
    <row r="7" spans="1:17" s="12" customFormat="1" ht="30" customHeight="1">
      <c r="A7" s="3" t="s">
        <v>77</v>
      </c>
      <c r="B7"/>
      <c r="C7" s="183">
        <v>0</v>
      </c>
      <c r="D7" s="196"/>
      <c r="E7" s="241">
        <v>0</v>
      </c>
      <c r="F7" s="202"/>
      <c r="G7" s="203">
        <f t="shared" ref="G7:G18" si="0">C7-E7</f>
        <v>0</v>
      </c>
      <c r="H7" s="202"/>
      <c r="I7" s="183">
        <v>144380</v>
      </c>
      <c r="J7" s="202"/>
      <c r="K7" s="201">
        <v>0</v>
      </c>
      <c r="L7" s="196"/>
      <c r="M7" s="184">
        <f>I7-K7</f>
        <v>144380</v>
      </c>
      <c r="N7" s="138"/>
      <c r="P7" s="99"/>
      <c r="Q7" s="99"/>
    </row>
    <row r="8" spans="1:17" s="12" customFormat="1" ht="30" customHeight="1">
      <c r="A8" s="4" t="s">
        <v>183</v>
      </c>
      <c r="B8"/>
      <c r="C8" s="183">
        <v>45174</v>
      </c>
      <c r="D8" s="196"/>
      <c r="E8" s="242">
        <v>0</v>
      </c>
      <c r="F8" s="202"/>
      <c r="G8" s="203">
        <f t="shared" si="0"/>
        <v>45174</v>
      </c>
      <c r="H8" s="202"/>
      <c r="I8" s="183">
        <v>48183</v>
      </c>
      <c r="J8" s="202"/>
      <c r="K8" s="203">
        <v>0</v>
      </c>
      <c r="L8" s="196"/>
      <c r="M8" s="183">
        <f t="shared" ref="M8:M48" si="1">I8-K8</f>
        <v>48183</v>
      </c>
      <c r="N8" s="138"/>
      <c r="P8" s="99"/>
      <c r="Q8" s="99"/>
    </row>
    <row r="9" spans="1:17" s="12" customFormat="1" ht="30" customHeight="1">
      <c r="A9" s="4" t="s">
        <v>78</v>
      </c>
      <c r="B9"/>
      <c r="C9" s="183">
        <v>1204414786</v>
      </c>
      <c r="D9" s="196"/>
      <c r="E9" s="242">
        <v>0</v>
      </c>
      <c r="F9" s="202"/>
      <c r="G9" s="203">
        <f t="shared" si="0"/>
        <v>1204414786</v>
      </c>
      <c r="H9" s="202"/>
      <c r="I9" s="183">
        <v>7388722660</v>
      </c>
      <c r="J9" s="202"/>
      <c r="K9" s="203">
        <v>0</v>
      </c>
      <c r="L9" s="196"/>
      <c r="M9" s="183">
        <f t="shared" si="1"/>
        <v>7388722660</v>
      </c>
      <c r="N9" s="138"/>
      <c r="P9" s="99"/>
      <c r="Q9" s="99"/>
    </row>
    <row r="10" spans="1:17" s="12" customFormat="1" ht="30" customHeight="1">
      <c r="A10" s="4" t="s">
        <v>235</v>
      </c>
      <c r="B10"/>
      <c r="C10" s="183">
        <v>7583</v>
      </c>
      <c r="D10" s="196"/>
      <c r="E10" s="242">
        <v>0</v>
      </c>
      <c r="F10" s="202"/>
      <c r="G10" s="203">
        <f t="shared" si="0"/>
        <v>7583</v>
      </c>
      <c r="H10" s="202"/>
      <c r="I10" s="183">
        <v>29380</v>
      </c>
      <c r="J10" s="202"/>
      <c r="K10" s="203">
        <v>0</v>
      </c>
      <c r="L10" s="196"/>
      <c r="M10" s="183">
        <f t="shared" si="1"/>
        <v>29380</v>
      </c>
      <c r="N10" s="138"/>
      <c r="P10" s="99"/>
      <c r="Q10" s="99"/>
    </row>
    <row r="11" spans="1:17" s="12" customFormat="1" ht="30" customHeight="1">
      <c r="A11" s="4" t="s">
        <v>80</v>
      </c>
      <c r="B11"/>
      <c r="C11" s="183">
        <v>51758</v>
      </c>
      <c r="D11" s="196"/>
      <c r="E11" s="242">
        <v>0</v>
      </c>
      <c r="F11" s="202"/>
      <c r="G11" s="203">
        <f t="shared" si="0"/>
        <v>51758</v>
      </c>
      <c r="H11" s="202"/>
      <c r="I11" s="183">
        <v>200482</v>
      </c>
      <c r="J11" s="202"/>
      <c r="K11" s="203">
        <v>0</v>
      </c>
      <c r="L11" s="196"/>
      <c r="M11" s="183">
        <f t="shared" si="1"/>
        <v>200482</v>
      </c>
      <c r="N11" s="138"/>
      <c r="P11" s="99"/>
      <c r="Q11" s="99"/>
    </row>
    <row r="12" spans="1:17" s="12" customFormat="1" ht="30" customHeight="1">
      <c r="A12" s="4" t="s">
        <v>81</v>
      </c>
      <c r="B12"/>
      <c r="C12" s="183">
        <v>31512</v>
      </c>
      <c r="D12" s="196"/>
      <c r="E12" s="242">
        <v>0</v>
      </c>
      <c r="F12" s="202"/>
      <c r="G12" s="203">
        <f t="shared" si="0"/>
        <v>31512</v>
      </c>
      <c r="H12" s="202"/>
      <c r="I12" s="183">
        <v>124606</v>
      </c>
      <c r="J12" s="202"/>
      <c r="K12" s="203">
        <v>0</v>
      </c>
      <c r="L12" s="196"/>
      <c r="M12" s="183">
        <f t="shared" si="1"/>
        <v>124606</v>
      </c>
      <c r="N12" s="138"/>
      <c r="P12" s="99"/>
      <c r="Q12" s="99"/>
    </row>
    <row r="13" spans="1:17" s="12" customFormat="1" ht="30" customHeight="1">
      <c r="A13" s="4" t="s">
        <v>82</v>
      </c>
      <c r="B13"/>
      <c r="C13" s="183">
        <v>8053</v>
      </c>
      <c r="D13" s="196"/>
      <c r="E13" s="242">
        <v>0</v>
      </c>
      <c r="F13" s="202"/>
      <c r="G13" s="203">
        <f t="shared" si="0"/>
        <v>8053</v>
      </c>
      <c r="H13" s="202"/>
      <c r="I13" s="183">
        <v>31226</v>
      </c>
      <c r="J13" s="202"/>
      <c r="K13" s="203">
        <v>0</v>
      </c>
      <c r="L13" s="196"/>
      <c r="M13" s="183">
        <f t="shared" si="1"/>
        <v>31226</v>
      </c>
      <c r="N13" s="138"/>
      <c r="P13" s="99"/>
      <c r="Q13" s="99"/>
    </row>
    <row r="14" spans="1:17" s="12" customFormat="1" ht="30" customHeight="1">
      <c r="A14" s="4" t="s">
        <v>83</v>
      </c>
      <c r="B14"/>
      <c r="C14" s="183">
        <v>83190</v>
      </c>
      <c r="D14" s="196"/>
      <c r="E14" s="242">
        <v>0</v>
      </c>
      <c r="F14" s="202"/>
      <c r="G14" s="203">
        <f t="shared" si="0"/>
        <v>83190</v>
      </c>
      <c r="H14" s="202"/>
      <c r="I14" s="183">
        <v>322148</v>
      </c>
      <c r="J14" s="202"/>
      <c r="K14" s="203">
        <v>0</v>
      </c>
      <c r="L14" s="196"/>
      <c r="M14" s="183">
        <f t="shared" si="1"/>
        <v>322148</v>
      </c>
      <c r="N14" s="138"/>
      <c r="P14" s="99"/>
      <c r="Q14" s="99"/>
    </row>
    <row r="15" spans="1:17" s="12" customFormat="1" ht="30" customHeight="1">
      <c r="A15" s="4" t="s">
        <v>84</v>
      </c>
      <c r="B15"/>
      <c r="C15" s="183">
        <v>9902</v>
      </c>
      <c r="D15" s="196"/>
      <c r="E15" s="242">
        <v>0</v>
      </c>
      <c r="F15" s="202"/>
      <c r="G15" s="203">
        <f t="shared" si="0"/>
        <v>9902</v>
      </c>
      <c r="H15" s="202"/>
      <c r="I15" s="183">
        <v>38399</v>
      </c>
      <c r="J15" s="202"/>
      <c r="K15" s="203">
        <v>0</v>
      </c>
      <c r="L15" s="196"/>
      <c r="M15" s="183">
        <f t="shared" si="1"/>
        <v>38399</v>
      </c>
      <c r="N15" s="138"/>
      <c r="P15" s="99"/>
      <c r="Q15" s="99"/>
    </row>
    <row r="16" spans="1:17" s="12" customFormat="1" ht="30" customHeight="1">
      <c r="A16" s="4" t="s">
        <v>85</v>
      </c>
      <c r="B16"/>
      <c r="C16" s="183">
        <v>30574</v>
      </c>
      <c r="D16" s="196"/>
      <c r="E16" s="242">
        <v>0</v>
      </c>
      <c r="F16" s="202"/>
      <c r="G16" s="203">
        <f t="shared" si="0"/>
        <v>30574</v>
      </c>
      <c r="H16" s="202"/>
      <c r="I16" s="183">
        <v>118994</v>
      </c>
      <c r="J16" s="202"/>
      <c r="K16" s="203">
        <v>0</v>
      </c>
      <c r="L16" s="196"/>
      <c r="M16" s="183">
        <f t="shared" si="1"/>
        <v>118994</v>
      </c>
      <c r="N16" s="138"/>
      <c r="P16" s="99"/>
      <c r="Q16" s="99"/>
    </row>
    <row r="17" spans="1:17" s="12" customFormat="1" ht="30" customHeight="1">
      <c r="A17" s="4" t="s">
        <v>86</v>
      </c>
      <c r="B17"/>
      <c r="C17" s="183">
        <v>48816</v>
      </c>
      <c r="D17" s="196"/>
      <c r="E17" s="242">
        <v>0</v>
      </c>
      <c r="F17" s="196"/>
      <c r="G17" s="203">
        <f t="shared" si="0"/>
        <v>48816</v>
      </c>
      <c r="H17" s="196"/>
      <c r="I17" s="183">
        <v>115336</v>
      </c>
      <c r="J17" s="196"/>
      <c r="K17" s="203">
        <v>0</v>
      </c>
      <c r="L17" s="196"/>
      <c r="M17" s="183">
        <f t="shared" si="1"/>
        <v>115336</v>
      </c>
      <c r="N17" s="138"/>
      <c r="P17" s="99"/>
      <c r="Q17" s="99"/>
    </row>
    <row r="18" spans="1:17" s="12" customFormat="1" ht="30" customHeight="1">
      <c r="A18" s="4" t="s">
        <v>87</v>
      </c>
      <c r="B18"/>
      <c r="C18" s="183">
        <v>75767</v>
      </c>
      <c r="D18" s="196"/>
      <c r="E18" s="242">
        <v>0</v>
      </c>
      <c r="F18" s="196"/>
      <c r="G18" s="203">
        <f t="shared" si="0"/>
        <v>75767</v>
      </c>
      <c r="H18" s="196"/>
      <c r="I18" s="183">
        <v>175225</v>
      </c>
      <c r="J18" s="196"/>
      <c r="K18" s="203">
        <v>0</v>
      </c>
      <c r="L18" s="196"/>
      <c r="M18" s="183">
        <f t="shared" si="1"/>
        <v>175225</v>
      </c>
      <c r="N18" s="138"/>
      <c r="P18" s="99"/>
      <c r="Q18" s="99"/>
    </row>
    <row r="19" spans="1:17" s="12" customFormat="1" ht="30" customHeight="1">
      <c r="A19" s="4" t="s">
        <v>185</v>
      </c>
      <c r="B19"/>
      <c r="C19" s="183">
        <v>105068483</v>
      </c>
      <c r="D19" s="196"/>
      <c r="E19" s="242">
        <v>-1364914</v>
      </c>
      <c r="F19" s="196"/>
      <c r="G19" s="203">
        <f>C19-E19</f>
        <v>106433397</v>
      </c>
      <c r="H19" s="196"/>
      <c r="I19" s="183">
        <v>4974058975</v>
      </c>
      <c r="J19" s="196"/>
      <c r="K19" s="242">
        <v>0</v>
      </c>
      <c r="L19" s="196"/>
      <c r="M19" s="183">
        <f t="shared" si="1"/>
        <v>4974058975</v>
      </c>
      <c r="N19" s="138"/>
      <c r="P19" s="99"/>
      <c r="Q19" s="99"/>
    </row>
    <row r="20" spans="1:17" s="12" customFormat="1" ht="30" customHeight="1">
      <c r="A20" s="4" t="s">
        <v>186</v>
      </c>
      <c r="B20"/>
      <c r="C20" s="183">
        <v>55578</v>
      </c>
      <c r="D20" s="196"/>
      <c r="E20" s="242">
        <v>0</v>
      </c>
      <c r="F20" s="196"/>
      <c r="G20" s="203">
        <f t="shared" ref="G20:G48" si="2">C20-E20</f>
        <v>55578</v>
      </c>
      <c r="H20" s="196"/>
      <c r="I20" s="183">
        <v>172920</v>
      </c>
      <c r="J20" s="196"/>
      <c r="K20" s="203">
        <v>0</v>
      </c>
      <c r="L20" s="196"/>
      <c r="M20" s="183">
        <f t="shared" si="1"/>
        <v>172920</v>
      </c>
      <c r="N20" s="138"/>
      <c r="P20" s="99"/>
      <c r="Q20" s="99"/>
    </row>
    <row r="21" spans="1:17" s="12" customFormat="1" ht="30" customHeight="1">
      <c r="A21" s="4" t="s">
        <v>187</v>
      </c>
      <c r="B21"/>
      <c r="C21" s="183">
        <v>218219178</v>
      </c>
      <c r="D21" s="196"/>
      <c r="E21" s="225">
        <v>-4501336</v>
      </c>
      <c r="F21" s="196"/>
      <c r="G21" s="203">
        <f t="shared" si="2"/>
        <v>222720514</v>
      </c>
      <c r="H21" s="196"/>
      <c r="I21" s="183">
        <v>4167529144</v>
      </c>
      <c r="J21" s="196"/>
      <c r="K21" s="242">
        <v>0</v>
      </c>
      <c r="L21" s="196"/>
      <c r="M21" s="183">
        <f t="shared" si="1"/>
        <v>4167529144</v>
      </c>
      <c r="N21" s="140"/>
      <c r="O21" s="22"/>
      <c r="P21" s="119"/>
      <c r="Q21" s="119"/>
    </row>
    <row r="22" spans="1:17" s="12" customFormat="1" ht="30" customHeight="1">
      <c r="A22" s="4" t="s">
        <v>188</v>
      </c>
      <c r="B22"/>
      <c r="C22" s="183">
        <v>727397256</v>
      </c>
      <c r="D22" s="196"/>
      <c r="E22" s="242">
        <v>-20032245</v>
      </c>
      <c r="F22" s="196"/>
      <c r="G22" s="203">
        <f t="shared" si="2"/>
        <v>747429501</v>
      </c>
      <c r="H22" s="196"/>
      <c r="I22" s="183">
        <v>14879127310</v>
      </c>
      <c r="J22" s="196"/>
      <c r="K22" s="242">
        <v>217236</v>
      </c>
      <c r="L22" s="196"/>
      <c r="M22" s="183">
        <f t="shared" si="1"/>
        <v>14878910074</v>
      </c>
      <c r="N22" s="141"/>
      <c r="O22"/>
      <c r="P22" s="34"/>
      <c r="Q22" s="34"/>
    </row>
    <row r="23" spans="1:17" s="12" customFormat="1" ht="30" customHeight="1">
      <c r="A23" s="4" t="s">
        <v>189</v>
      </c>
      <c r="B23"/>
      <c r="C23" s="183">
        <v>0</v>
      </c>
      <c r="D23" s="196"/>
      <c r="E23" s="242">
        <v>0</v>
      </c>
      <c r="F23" s="196"/>
      <c r="G23" s="203">
        <f t="shared" si="2"/>
        <v>0</v>
      </c>
      <c r="H23" s="196"/>
      <c r="I23" s="183">
        <v>26373333317</v>
      </c>
      <c r="J23" s="196"/>
      <c r="K23" s="242">
        <v>0</v>
      </c>
      <c r="L23" s="196"/>
      <c r="M23" s="183">
        <f t="shared" si="1"/>
        <v>26373333317</v>
      </c>
      <c r="N23" s="141"/>
      <c r="O23"/>
      <c r="P23" s="34"/>
      <c r="Q23" s="34"/>
    </row>
    <row r="24" spans="1:17" s="12" customFormat="1" ht="30" customHeight="1">
      <c r="A24" s="4" t="s">
        <v>190</v>
      </c>
      <c r="B24"/>
      <c r="C24" s="183">
        <v>294191768</v>
      </c>
      <c r="D24" s="196"/>
      <c r="E24" s="242">
        <v>-3018401</v>
      </c>
      <c r="F24" s="196"/>
      <c r="G24" s="203">
        <f t="shared" si="2"/>
        <v>297210169</v>
      </c>
      <c r="H24" s="196"/>
      <c r="I24" s="183">
        <v>3943420568</v>
      </c>
      <c r="J24" s="196"/>
      <c r="K24" s="242">
        <v>0</v>
      </c>
      <c r="L24" s="196"/>
      <c r="M24" s="183">
        <f t="shared" si="1"/>
        <v>3943420568</v>
      </c>
      <c r="N24" s="141"/>
      <c r="O24"/>
      <c r="P24" s="34"/>
      <c r="Q24" s="34"/>
    </row>
    <row r="25" spans="1:17" s="12" customFormat="1" ht="30" customHeight="1">
      <c r="A25" s="4" t="s">
        <v>191</v>
      </c>
      <c r="B25"/>
      <c r="C25" s="183">
        <v>315205475</v>
      </c>
      <c r="D25" s="196"/>
      <c r="E25" s="242">
        <v>-4552477</v>
      </c>
      <c r="F25" s="196"/>
      <c r="G25" s="203">
        <f t="shared" si="2"/>
        <v>319757952</v>
      </c>
      <c r="H25" s="196"/>
      <c r="I25" s="183">
        <v>10053871110</v>
      </c>
      <c r="J25" s="196"/>
      <c r="K25" s="242">
        <v>0</v>
      </c>
      <c r="L25" s="196"/>
      <c r="M25" s="183">
        <f t="shared" si="1"/>
        <v>10053871110</v>
      </c>
      <c r="N25"/>
      <c r="O25"/>
      <c r="P25" s="34"/>
      <c r="Q25" s="34"/>
    </row>
    <row r="26" spans="1:17" s="12" customFormat="1" ht="30" customHeight="1">
      <c r="A26" s="4" t="s">
        <v>192</v>
      </c>
      <c r="B26"/>
      <c r="C26" s="183">
        <v>0</v>
      </c>
      <c r="D26" s="196"/>
      <c r="E26" s="242">
        <v>0</v>
      </c>
      <c r="F26" s="196"/>
      <c r="G26" s="203">
        <f t="shared" si="2"/>
        <v>0</v>
      </c>
      <c r="H26" s="196"/>
      <c r="I26" s="183">
        <v>7789499355</v>
      </c>
      <c r="J26" s="196"/>
      <c r="K26" s="242">
        <v>0</v>
      </c>
      <c r="L26" s="196"/>
      <c r="M26" s="183">
        <f t="shared" si="1"/>
        <v>7789499355</v>
      </c>
      <c r="N26"/>
      <c r="O26"/>
      <c r="P26" s="34"/>
      <c r="Q26" s="34"/>
    </row>
    <row r="27" spans="1:17" s="12" customFormat="1" ht="30" customHeight="1">
      <c r="A27" s="4" t="s">
        <v>193</v>
      </c>
      <c r="B27"/>
      <c r="C27" s="183">
        <v>773630138</v>
      </c>
      <c r="D27" s="196"/>
      <c r="E27" s="242">
        <v>-683669</v>
      </c>
      <c r="F27" s="196"/>
      <c r="G27" s="203">
        <f t="shared" si="2"/>
        <v>774313807</v>
      </c>
      <c r="H27" s="196"/>
      <c r="I27" s="183">
        <v>8378017555</v>
      </c>
      <c r="J27" s="196"/>
      <c r="K27" s="242">
        <v>0</v>
      </c>
      <c r="L27" s="196"/>
      <c r="M27" s="183">
        <f t="shared" si="1"/>
        <v>8378017555</v>
      </c>
      <c r="N27"/>
      <c r="O27"/>
      <c r="P27" s="34"/>
      <c r="Q27" s="34"/>
    </row>
    <row r="28" spans="1:17" s="12" customFormat="1" ht="30" customHeight="1">
      <c r="A28" s="4" t="s">
        <v>194</v>
      </c>
      <c r="B28"/>
      <c r="C28" s="183">
        <v>0</v>
      </c>
      <c r="D28" s="196"/>
      <c r="E28" s="242">
        <v>0</v>
      </c>
      <c r="F28" s="196"/>
      <c r="G28" s="203">
        <f t="shared" si="2"/>
        <v>0</v>
      </c>
      <c r="H28" s="196"/>
      <c r="I28" s="183">
        <v>8576502695</v>
      </c>
      <c r="J28" s="196"/>
      <c r="K28" s="242">
        <v>8771708</v>
      </c>
      <c r="L28" s="196"/>
      <c r="M28" s="183">
        <f t="shared" si="1"/>
        <v>8567730987</v>
      </c>
      <c r="N28"/>
      <c r="O28"/>
      <c r="P28" s="34"/>
      <c r="Q28" s="34"/>
    </row>
    <row r="29" spans="1:17" s="12" customFormat="1" ht="30" customHeight="1">
      <c r="A29" s="4" t="s">
        <v>195</v>
      </c>
      <c r="B29"/>
      <c r="C29" s="183">
        <v>107123290</v>
      </c>
      <c r="D29" s="196"/>
      <c r="E29" s="242">
        <v>-571023</v>
      </c>
      <c r="F29" s="196"/>
      <c r="G29" s="203">
        <f t="shared" si="2"/>
        <v>107694313</v>
      </c>
      <c r="H29" s="196"/>
      <c r="I29" s="183">
        <v>6987983305</v>
      </c>
      <c r="J29" s="196"/>
      <c r="K29" s="242">
        <v>4338698</v>
      </c>
      <c r="L29" s="196"/>
      <c r="M29" s="183">
        <f t="shared" si="1"/>
        <v>6983644607</v>
      </c>
      <c r="N29"/>
      <c r="O29"/>
      <c r="P29" s="34"/>
      <c r="Q29" s="34"/>
    </row>
    <row r="30" spans="1:17" s="12" customFormat="1" ht="30" customHeight="1">
      <c r="A30" s="4" t="s">
        <v>297</v>
      </c>
      <c r="B30"/>
      <c r="C30" s="183">
        <v>73771</v>
      </c>
      <c r="D30" s="196"/>
      <c r="E30" s="242">
        <v>0</v>
      </c>
      <c r="F30" s="196"/>
      <c r="G30" s="203">
        <f t="shared" si="2"/>
        <v>73771</v>
      </c>
      <c r="H30" s="196"/>
      <c r="I30" s="183">
        <v>226270</v>
      </c>
      <c r="J30" s="196"/>
      <c r="K30" s="242">
        <v>0</v>
      </c>
      <c r="L30" s="196"/>
      <c r="M30" s="183">
        <f t="shared" si="1"/>
        <v>226270</v>
      </c>
      <c r="N30"/>
      <c r="O30"/>
      <c r="P30" s="34"/>
      <c r="Q30" s="34"/>
    </row>
    <row r="31" spans="1:17" s="12" customFormat="1" ht="30" customHeight="1">
      <c r="A31" s="4" t="s">
        <v>212</v>
      </c>
      <c r="B31"/>
      <c r="C31" s="183">
        <v>1729766266</v>
      </c>
      <c r="D31" s="196"/>
      <c r="E31" s="242">
        <v>-2220978</v>
      </c>
      <c r="F31" s="196"/>
      <c r="G31" s="203">
        <f t="shared" si="2"/>
        <v>1731987244</v>
      </c>
      <c r="H31" s="196"/>
      <c r="I31" s="183">
        <v>31804648568</v>
      </c>
      <c r="J31" s="196"/>
      <c r="K31" s="242">
        <v>0</v>
      </c>
      <c r="L31" s="196"/>
      <c r="M31" s="183">
        <f t="shared" si="1"/>
        <v>31804648568</v>
      </c>
      <c r="N31"/>
      <c r="O31"/>
      <c r="P31" s="34"/>
      <c r="Q31" s="34"/>
    </row>
    <row r="32" spans="1:17" s="22" customFormat="1" ht="30" customHeight="1">
      <c r="A32" s="4" t="s">
        <v>213</v>
      </c>
      <c r="B32"/>
      <c r="C32" s="183">
        <v>727397256</v>
      </c>
      <c r="D32" s="196"/>
      <c r="E32" s="225">
        <v>-2977691</v>
      </c>
      <c r="F32" s="196"/>
      <c r="G32" s="203">
        <f t="shared" si="2"/>
        <v>730374947</v>
      </c>
      <c r="H32" s="196"/>
      <c r="I32" s="183">
        <v>11739714752</v>
      </c>
      <c r="J32" s="196"/>
      <c r="K32" s="242">
        <v>0</v>
      </c>
      <c r="L32" s="196"/>
      <c r="M32" s="183">
        <f t="shared" si="1"/>
        <v>11739714752</v>
      </c>
      <c r="N32"/>
      <c r="O32"/>
      <c r="P32" s="34"/>
      <c r="Q32" s="34"/>
    </row>
    <row r="33" spans="1:17" s="22" customFormat="1" ht="30" customHeight="1">
      <c r="A33" s="4" t="s">
        <v>214</v>
      </c>
      <c r="B33"/>
      <c r="C33" s="183">
        <v>2101369855</v>
      </c>
      <c r="D33" s="196"/>
      <c r="E33" s="242">
        <v>-4074318</v>
      </c>
      <c r="F33" s="202"/>
      <c r="G33" s="203">
        <f t="shared" si="2"/>
        <v>2105444173</v>
      </c>
      <c r="H33" s="202"/>
      <c r="I33" s="183">
        <v>18017336552</v>
      </c>
      <c r="J33" s="202"/>
      <c r="K33" s="242">
        <v>0</v>
      </c>
      <c r="L33" s="196"/>
      <c r="M33" s="183">
        <f t="shared" si="1"/>
        <v>18017336552</v>
      </c>
      <c r="N33"/>
      <c r="O33"/>
      <c r="P33" s="34"/>
      <c r="Q33" s="34"/>
    </row>
    <row r="34" spans="1:17" s="22" customFormat="1" ht="30" customHeight="1">
      <c r="A34" s="4" t="s">
        <v>215</v>
      </c>
      <c r="B34"/>
      <c r="C34" s="183">
        <v>2011675123</v>
      </c>
      <c r="D34" s="196"/>
      <c r="E34" s="242">
        <v>0</v>
      </c>
      <c r="F34" s="196"/>
      <c r="G34" s="203">
        <f t="shared" si="2"/>
        <v>2011675123</v>
      </c>
      <c r="H34" s="196"/>
      <c r="I34" s="183">
        <v>8302169548</v>
      </c>
      <c r="J34" s="196"/>
      <c r="K34" s="242">
        <v>0</v>
      </c>
      <c r="L34" s="196"/>
      <c r="M34" s="183">
        <f t="shared" si="1"/>
        <v>8302169548</v>
      </c>
      <c r="N34"/>
      <c r="O34"/>
      <c r="P34" s="34"/>
      <c r="Q34" s="34"/>
    </row>
    <row r="35" spans="1:17" s="22" customFormat="1" ht="30" customHeight="1">
      <c r="A35" s="4" t="s">
        <v>216</v>
      </c>
      <c r="B35"/>
      <c r="C35" s="183">
        <v>12484931506</v>
      </c>
      <c r="D35" s="196"/>
      <c r="E35" s="242">
        <v>0</v>
      </c>
      <c r="F35" s="196"/>
      <c r="G35" s="203">
        <f t="shared" si="2"/>
        <v>12484931506</v>
      </c>
      <c r="H35" s="196"/>
      <c r="I35" s="183">
        <v>49537741989</v>
      </c>
      <c r="J35" s="196"/>
      <c r="K35" s="242">
        <v>79388825</v>
      </c>
      <c r="L35" s="196"/>
      <c r="M35" s="183">
        <f t="shared" si="1"/>
        <v>49458353164</v>
      </c>
      <c r="N35"/>
      <c r="O35"/>
      <c r="P35" s="34"/>
      <c r="Q35" s="34"/>
    </row>
    <row r="36" spans="1:17" s="22" customFormat="1" ht="30" customHeight="1">
      <c r="A36" s="4" t="s">
        <v>252</v>
      </c>
      <c r="B36"/>
      <c r="C36" s="183">
        <v>11072602735</v>
      </c>
      <c r="D36" s="196"/>
      <c r="E36" s="242">
        <v>-2102137</v>
      </c>
      <c r="F36" s="196"/>
      <c r="G36" s="203">
        <f t="shared" si="2"/>
        <v>11074704872</v>
      </c>
      <c r="H36" s="196"/>
      <c r="I36" s="183">
        <v>38574829682</v>
      </c>
      <c r="J36" s="196"/>
      <c r="K36" s="242">
        <v>7662366</v>
      </c>
      <c r="L36" s="196"/>
      <c r="M36" s="183">
        <f t="shared" si="1"/>
        <v>38567167316</v>
      </c>
      <c r="N36"/>
      <c r="O36"/>
      <c r="P36" s="34"/>
      <c r="Q36" s="34"/>
    </row>
    <row r="37" spans="1:17" s="22" customFormat="1" ht="30" customHeight="1">
      <c r="A37" s="4" t="s">
        <v>253</v>
      </c>
      <c r="B37"/>
      <c r="C37" s="183">
        <v>12527397259</v>
      </c>
      <c r="D37" s="196"/>
      <c r="E37" s="225">
        <v>-377233</v>
      </c>
      <c r="F37" s="196"/>
      <c r="G37" s="203">
        <f t="shared" si="2"/>
        <v>12527774492</v>
      </c>
      <c r="H37" s="196"/>
      <c r="I37" s="183">
        <v>36741952974</v>
      </c>
      <c r="J37" s="196"/>
      <c r="K37" s="242">
        <v>7832353</v>
      </c>
      <c r="L37" s="196"/>
      <c r="M37" s="183">
        <f t="shared" si="1"/>
        <v>36734120621</v>
      </c>
      <c r="N37"/>
      <c r="O37"/>
      <c r="P37" s="34"/>
      <c r="Q37" s="34"/>
    </row>
    <row r="38" spans="1:17" s="22" customFormat="1" ht="30" customHeight="1">
      <c r="A38" s="4" t="s">
        <v>254</v>
      </c>
      <c r="B38"/>
      <c r="C38" s="183">
        <v>6263698614</v>
      </c>
      <c r="D38" s="196"/>
      <c r="E38" s="242">
        <v>-6676202</v>
      </c>
      <c r="F38" s="196"/>
      <c r="G38" s="203">
        <f t="shared" si="2"/>
        <v>6270374816</v>
      </c>
      <c r="H38" s="196"/>
      <c r="I38" s="183">
        <v>16960457332</v>
      </c>
      <c r="J38" s="196"/>
      <c r="K38" s="242">
        <v>31153048</v>
      </c>
      <c r="L38" s="196"/>
      <c r="M38" s="183">
        <f t="shared" si="1"/>
        <v>16929304284</v>
      </c>
      <c r="N38"/>
      <c r="O38"/>
      <c r="P38" s="34"/>
      <c r="Q38" s="34"/>
    </row>
    <row r="39" spans="1:17" s="22" customFormat="1" ht="30" customHeight="1">
      <c r="A39" s="4" t="s">
        <v>255</v>
      </c>
      <c r="B39"/>
      <c r="C39" s="183">
        <v>6087345190</v>
      </c>
      <c r="D39" s="196"/>
      <c r="E39" s="242">
        <v>-14626268</v>
      </c>
      <c r="F39" s="196"/>
      <c r="G39" s="203">
        <f t="shared" si="2"/>
        <v>6101971458</v>
      </c>
      <c r="H39" s="196"/>
      <c r="I39" s="183">
        <v>16784103908</v>
      </c>
      <c r="J39" s="196"/>
      <c r="K39" s="242">
        <v>19122867</v>
      </c>
      <c r="L39" s="196"/>
      <c r="M39" s="183">
        <f t="shared" si="1"/>
        <v>16764981041</v>
      </c>
      <c r="N39"/>
      <c r="O39"/>
      <c r="P39" s="34"/>
      <c r="Q39" s="34"/>
    </row>
    <row r="40" spans="1:17" s="22" customFormat="1" ht="30" customHeight="1">
      <c r="A40" s="4" t="s">
        <v>250</v>
      </c>
      <c r="B40"/>
      <c r="C40" s="183">
        <v>43913</v>
      </c>
      <c r="D40" s="196"/>
      <c r="E40" s="242">
        <v>0</v>
      </c>
      <c r="F40" s="196"/>
      <c r="G40" s="203">
        <f t="shared" si="2"/>
        <v>43913</v>
      </c>
      <c r="H40" s="196"/>
      <c r="I40" s="183">
        <v>85831</v>
      </c>
      <c r="J40" s="196"/>
      <c r="K40" s="242">
        <v>0</v>
      </c>
      <c r="L40" s="196"/>
      <c r="M40" s="183">
        <f t="shared" si="1"/>
        <v>85831</v>
      </c>
      <c r="N40"/>
      <c r="O40"/>
      <c r="P40" s="34"/>
      <c r="Q40" s="34"/>
    </row>
    <row r="41" spans="1:17" s="22" customFormat="1" ht="30" customHeight="1">
      <c r="A41" s="4" t="s">
        <v>259</v>
      </c>
      <c r="B41"/>
      <c r="C41" s="183">
        <v>18658897248</v>
      </c>
      <c r="D41" s="196"/>
      <c r="E41" s="242">
        <v>-91460610</v>
      </c>
      <c r="F41" s="196"/>
      <c r="G41" s="203">
        <f t="shared" si="2"/>
        <v>18750357858</v>
      </c>
      <c r="H41" s="196"/>
      <c r="I41" s="183">
        <v>52721424624</v>
      </c>
      <c r="J41" s="196"/>
      <c r="K41" s="242">
        <v>80753219</v>
      </c>
      <c r="L41" s="196"/>
      <c r="M41" s="183">
        <f t="shared" si="1"/>
        <v>52640671405</v>
      </c>
      <c r="N41"/>
      <c r="O41"/>
      <c r="P41" s="34"/>
      <c r="Q41" s="34"/>
    </row>
    <row r="42" spans="1:17" s="22" customFormat="1" ht="30" customHeight="1">
      <c r="A42" s="4" t="s">
        <v>256</v>
      </c>
      <c r="B42"/>
      <c r="C42" s="183">
        <v>0</v>
      </c>
      <c r="D42" s="196"/>
      <c r="E42" s="242">
        <v>0</v>
      </c>
      <c r="F42" s="196"/>
      <c r="G42" s="203">
        <f t="shared" si="2"/>
        <v>0</v>
      </c>
      <c r="H42" s="196"/>
      <c r="I42" s="183">
        <v>1711757956</v>
      </c>
      <c r="J42" s="196"/>
      <c r="K42" s="242">
        <v>8319186</v>
      </c>
      <c r="L42" s="196"/>
      <c r="M42" s="183">
        <f t="shared" si="1"/>
        <v>1703438770</v>
      </c>
      <c r="N42"/>
      <c r="O42"/>
      <c r="P42" s="34"/>
      <c r="Q42" s="34"/>
    </row>
    <row r="43" spans="1:17" s="22" customFormat="1" ht="30" customHeight="1">
      <c r="A43" s="4" t="s">
        <v>279</v>
      </c>
      <c r="B43"/>
      <c r="C43" s="183">
        <v>7771232861</v>
      </c>
      <c r="D43" s="196"/>
      <c r="E43" s="242">
        <v>-20518995</v>
      </c>
      <c r="F43" s="196"/>
      <c r="G43" s="203">
        <f t="shared" si="2"/>
        <v>7791751856</v>
      </c>
      <c r="H43" s="196"/>
      <c r="I43" s="183">
        <v>9275342447</v>
      </c>
      <c r="J43" s="196"/>
      <c r="K43" s="242">
        <v>10259497</v>
      </c>
      <c r="L43" s="196"/>
      <c r="M43" s="183">
        <f t="shared" si="1"/>
        <v>9265082950</v>
      </c>
      <c r="N43"/>
      <c r="O43"/>
      <c r="P43" s="34"/>
      <c r="Q43" s="34"/>
    </row>
    <row r="44" spans="1:17" s="22" customFormat="1" ht="30" customHeight="1">
      <c r="A44" s="4" t="s">
        <v>280</v>
      </c>
      <c r="B44"/>
      <c r="C44" s="183">
        <v>7771232861</v>
      </c>
      <c r="D44" s="196"/>
      <c r="E44" s="242">
        <v>45064652</v>
      </c>
      <c r="F44" s="196"/>
      <c r="G44" s="203">
        <f t="shared" ref="G44" si="3">C44-E44</f>
        <v>7726168209</v>
      </c>
      <c r="H44" s="196"/>
      <c r="I44" s="183">
        <v>8773972585</v>
      </c>
      <c r="J44" s="196"/>
      <c r="K44" s="242">
        <v>67188948</v>
      </c>
      <c r="L44" s="196"/>
      <c r="M44" s="183">
        <f t="shared" ref="M44" si="4">I44-K44</f>
        <v>8706783637</v>
      </c>
      <c r="N44"/>
      <c r="O44"/>
      <c r="P44" s="34"/>
      <c r="Q44" s="34"/>
    </row>
    <row r="45" spans="1:17" s="22" customFormat="1" ht="30" customHeight="1">
      <c r="A45" s="4" t="s">
        <v>293</v>
      </c>
      <c r="B45"/>
      <c r="C45" s="183">
        <v>8601369861</v>
      </c>
      <c r="D45" s="196"/>
      <c r="E45" s="242">
        <v>69888029</v>
      </c>
      <c r="F45" s="196"/>
      <c r="G45" s="203">
        <f t="shared" si="2"/>
        <v>8531481832</v>
      </c>
      <c r="H45" s="196"/>
      <c r="I45" s="183">
        <v>8601369861</v>
      </c>
      <c r="J45" s="196"/>
      <c r="K45" s="242">
        <v>69888029</v>
      </c>
      <c r="L45" s="196"/>
      <c r="M45" s="183">
        <f t="shared" si="1"/>
        <v>8531481832</v>
      </c>
      <c r="N45"/>
      <c r="O45"/>
      <c r="P45" s="34"/>
      <c r="Q45" s="34"/>
    </row>
    <row r="46" spans="1:17" s="22" customFormat="1" ht="30" customHeight="1">
      <c r="A46" s="4" t="s">
        <v>294</v>
      </c>
      <c r="B46"/>
      <c r="C46" s="183">
        <v>1286849312</v>
      </c>
      <c r="D46" s="196"/>
      <c r="E46" s="242">
        <v>18024268</v>
      </c>
      <c r="F46" s="196"/>
      <c r="G46" s="203">
        <f t="shared" si="2"/>
        <v>1268825044</v>
      </c>
      <c r="H46" s="196"/>
      <c r="I46" s="183">
        <v>1286849312</v>
      </c>
      <c r="J46" s="196"/>
      <c r="K46" s="242">
        <v>18024268</v>
      </c>
      <c r="L46" s="196"/>
      <c r="M46" s="183">
        <f t="shared" si="1"/>
        <v>1268825044</v>
      </c>
      <c r="N46"/>
      <c r="O46"/>
      <c r="P46" s="34"/>
      <c r="Q46" s="34"/>
    </row>
    <row r="47" spans="1:17" s="22" customFormat="1" ht="30" customHeight="1">
      <c r="A47" s="4" t="s">
        <v>295</v>
      </c>
      <c r="B47"/>
      <c r="C47" s="183">
        <v>1310684928</v>
      </c>
      <c r="D47" s="196"/>
      <c r="E47" s="242">
        <v>24238069</v>
      </c>
      <c r="F47" s="196"/>
      <c r="G47" s="203">
        <f t="shared" si="2"/>
        <v>1286446859</v>
      </c>
      <c r="H47" s="196"/>
      <c r="I47" s="183">
        <v>1310684928</v>
      </c>
      <c r="J47" s="196"/>
      <c r="K47" s="242">
        <v>24238069</v>
      </c>
      <c r="L47" s="196"/>
      <c r="M47" s="183">
        <f t="shared" si="1"/>
        <v>1286446859</v>
      </c>
      <c r="N47"/>
      <c r="O47"/>
      <c r="P47" s="34"/>
      <c r="Q47" s="34"/>
    </row>
    <row r="48" spans="1:17" s="22" customFormat="1" ht="30" customHeight="1">
      <c r="A48" s="4" t="s">
        <v>296</v>
      </c>
      <c r="B48"/>
      <c r="C48" s="183">
        <v>1336986296</v>
      </c>
      <c r="D48" s="196"/>
      <c r="E48" s="242">
        <v>25211238</v>
      </c>
      <c r="F48" s="196"/>
      <c r="G48" s="203">
        <f t="shared" si="2"/>
        <v>1311775058</v>
      </c>
      <c r="H48" s="196"/>
      <c r="I48" s="183">
        <v>1336986296</v>
      </c>
      <c r="J48" s="196"/>
      <c r="K48" s="242">
        <v>25211238</v>
      </c>
      <c r="L48" s="196"/>
      <c r="M48" s="183">
        <f t="shared" si="1"/>
        <v>1311775058</v>
      </c>
      <c r="N48"/>
      <c r="O48"/>
      <c r="P48" s="34"/>
      <c r="Q48" s="34"/>
    </row>
    <row r="49" spans="1:13" ht="27.75" customHeight="1" thickBot="1">
      <c r="A49" s="11" t="s">
        <v>12</v>
      </c>
      <c r="C49" s="180">
        <f>SUM(C7:C48)</f>
        <v>105489253136</v>
      </c>
      <c r="D49" s="204">
        <f>SUM(D7:D42)</f>
        <v>0</v>
      </c>
      <c r="E49" s="243">
        <f>SUM(E7:E48)</f>
        <v>2667759</v>
      </c>
      <c r="F49" s="204">
        <f t="shared" ref="F49:M49" si="5">SUM(F7:F48)</f>
        <v>0</v>
      </c>
      <c r="G49" s="180">
        <f>SUM(G7:G48)</f>
        <v>105486585377</v>
      </c>
      <c r="H49" s="204">
        <f t="shared" si="5"/>
        <v>0</v>
      </c>
      <c r="I49" s="180">
        <f t="shared" si="5"/>
        <v>416995242688</v>
      </c>
      <c r="J49" s="204">
        <f t="shared" si="5"/>
        <v>0</v>
      </c>
      <c r="K49" s="243">
        <f t="shared" si="5"/>
        <v>462369555</v>
      </c>
      <c r="L49" s="204">
        <f t="shared" si="5"/>
        <v>0</v>
      </c>
      <c r="M49" s="180">
        <f t="shared" si="5"/>
        <v>416532873133</v>
      </c>
    </row>
    <row r="50" spans="1:13" ht="13.5" thickTop="1"/>
  </sheetData>
  <mergeCells count="7">
    <mergeCell ref="A1:M1"/>
    <mergeCell ref="A2:M2"/>
    <mergeCell ref="A3:M3"/>
    <mergeCell ref="A4:M4"/>
    <mergeCell ref="A5:A6"/>
    <mergeCell ref="C5:G5"/>
    <mergeCell ref="I5:M5"/>
  </mergeCells>
  <pageMargins left="0.39" right="0.39" top="0.39" bottom="0.39" header="0" footer="0"/>
  <pageSetup scale="77" fitToHeight="0" orientation="landscape" r:id="rId1"/>
  <rowBreaks count="1" manualBreakCount="1">
    <brk id="21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249977111117893"/>
    <pageSetUpPr fitToPage="1"/>
  </sheetPr>
  <dimension ref="A1:AD23"/>
  <sheetViews>
    <sheetView rightToLeft="1" view="pageBreakPreview" zoomScaleNormal="100" zoomScaleSheetLayoutView="100" workbookViewId="0">
      <selection activeCell="AC1" sqref="AC1"/>
    </sheetView>
  </sheetViews>
  <sheetFormatPr defaultRowHeight="15"/>
  <cols>
    <col min="1" max="1" width="3.5703125" style="12" bestFit="1" customWidth="1"/>
    <col min="2" max="2" width="2.5703125" style="12" customWidth="1"/>
    <col min="3" max="3" width="23.42578125" style="12" customWidth="1"/>
    <col min="4" max="4" width="1.28515625" style="12" customWidth="1"/>
    <col min="5" max="5" width="12.140625" style="12" bestFit="1" customWidth="1"/>
    <col min="6" max="6" width="1" style="12" customWidth="1"/>
    <col min="7" max="7" width="16.7109375" style="12" bestFit="1" customWidth="1"/>
    <col min="8" max="8" width="1.28515625" style="12" customWidth="1"/>
    <col min="9" max="9" width="18.140625" style="12" bestFit="1" customWidth="1"/>
    <col min="10" max="10" width="1.28515625" style="12" customWidth="1"/>
    <col min="11" max="11" width="11.140625" style="12" customWidth="1"/>
    <col min="12" max="12" width="1.28515625" style="12" customWidth="1"/>
    <col min="13" max="13" width="17" style="12" customWidth="1"/>
    <col min="14" max="14" width="1" style="12" customWidth="1"/>
    <col min="15" max="15" width="16" style="12" customWidth="1"/>
    <col min="16" max="16" width="1.28515625" style="12" customWidth="1"/>
    <col min="17" max="17" width="18.7109375" style="12" bestFit="1" customWidth="1"/>
    <col min="18" max="18" width="1.28515625" style="12" customWidth="1"/>
    <col min="19" max="19" width="12.140625" style="12" bestFit="1" customWidth="1"/>
    <col min="20" max="20" width="1.28515625" style="12" customWidth="1"/>
    <col min="21" max="21" width="16.140625" style="54" bestFit="1" customWidth="1"/>
    <col min="22" max="22" width="1.28515625" style="54" customWidth="1"/>
    <col min="23" max="23" width="16.140625" style="54" bestFit="1" customWidth="1"/>
    <col min="24" max="24" width="1.28515625" style="54" customWidth="1"/>
    <col min="25" max="25" width="17.5703125" style="54" bestFit="1" customWidth="1"/>
    <col min="26" max="26" width="1.28515625" style="54" customWidth="1"/>
    <col min="27" max="27" width="20.5703125" style="54" bestFit="1" customWidth="1"/>
    <col min="28" max="28" width="0.28515625" style="12" customWidth="1"/>
    <col min="29" max="29" width="9.140625" style="12"/>
    <col min="30" max="30" width="9.140625" style="30"/>
    <col min="31" max="16384" width="9.140625" style="12"/>
  </cols>
  <sheetData>
    <row r="1" spans="1:30" ht="30" customHeight="1">
      <c r="A1" s="343" t="s">
        <v>0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3"/>
      <c r="V1" s="343"/>
      <c r="W1" s="343"/>
      <c r="X1" s="343"/>
      <c r="Y1" s="343"/>
      <c r="Z1" s="343"/>
      <c r="AA1" s="343"/>
    </row>
    <row r="2" spans="1:30" ht="30" customHeight="1">
      <c r="A2" s="343" t="s">
        <v>1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343"/>
      <c r="X2" s="343"/>
      <c r="Y2" s="343"/>
      <c r="Z2" s="343"/>
      <c r="AA2" s="343"/>
    </row>
    <row r="3" spans="1:30" ht="30" customHeight="1">
      <c r="A3" s="343" t="s">
        <v>283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343"/>
      <c r="S3" s="343"/>
      <c r="T3" s="343"/>
      <c r="U3" s="343"/>
      <c r="V3" s="343"/>
      <c r="W3" s="343"/>
      <c r="X3" s="343"/>
      <c r="Y3" s="343"/>
      <c r="Z3" s="343"/>
      <c r="AA3" s="343"/>
    </row>
    <row r="4" spans="1:30" s="13" customFormat="1" ht="25.5">
      <c r="A4" s="342" t="s">
        <v>144</v>
      </c>
      <c r="B4" s="342"/>
      <c r="C4" s="342"/>
      <c r="D4" s="342"/>
      <c r="E4" s="342"/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342"/>
      <c r="S4" s="342"/>
      <c r="T4" s="342"/>
      <c r="U4" s="342"/>
      <c r="V4" s="342"/>
      <c r="W4" s="342"/>
      <c r="X4" s="342"/>
      <c r="Y4" s="342"/>
      <c r="Z4" s="342"/>
      <c r="AA4" s="342"/>
      <c r="AD4" s="44"/>
    </row>
    <row r="5" spans="1:30" s="13" customFormat="1" ht="25.5">
      <c r="A5" s="342" t="s">
        <v>145</v>
      </c>
      <c r="B5" s="342"/>
      <c r="C5" s="342"/>
      <c r="D5" s="342"/>
      <c r="E5" s="342"/>
      <c r="F5" s="342"/>
      <c r="G5" s="342"/>
      <c r="H5" s="342"/>
      <c r="I5" s="342"/>
      <c r="J5" s="342"/>
      <c r="K5" s="342"/>
      <c r="L5" s="342"/>
      <c r="M5" s="342"/>
      <c r="N5" s="342"/>
      <c r="O5" s="342"/>
      <c r="P5" s="342"/>
      <c r="Q5" s="342"/>
      <c r="R5" s="342"/>
      <c r="S5" s="342"/>
      <c r="T5" s="342"/>
      <c r="U5" s="342"/>
      <c r="V5" s="342"/>
      <c r="W5" s="342"/>
      <c r="X5" s="342"/>
      <c r="Y5" s="342"/>
      <c r="Z5" s="342"/>
      <c r="AA5" s="342"/>
      <c r="AD5" s="44"/>
    </row>
    <row r="6" spans="1:30" ht="24" customHeight="1">
      <c r="E6" s="344" t="s">
        <v>275</v>
      </c>
      <c r="F6" s="344"/>
      <c r="G6" s="344"/>
      <c r="H6" s="344"/>
      <c r="I6" s="344"/>
      <c r="J6" s="14"/>
      <c r="K6" s="344" t="s">
        <v>2</v>
      </c>
      <c r="L6" s="344"/>
      <c r="M6" s="344"/>
      <c r="N6" s="344"/>
      <c r="O6" s="344"/>
      <c r="P6" s="344"/>
      <c r="Q6" s="344"/>
      <c r="R6" s="14"/>
      <c r="S6" s="344" t="s">
        <v>284</v>
      </c>
      <c r="T6" s="344"/>
      <c r="U6" s="344"/>
      <c r="V6" s="344"/>
      <c r="W6" s="344"/>
      <c r="X6" s="344"/>
      <c r="Y6" s="344"/>
      <c r="Z6" s="344"/>
      <c r="AA6" s="344"/>
    </row>
    <row r="7" spans="1:30" ht="21.75" customHeight="1">
      <c r="E7" s="15"/>
      <c r="F7" s="15"/>
      <c r="G7" s="15"/>
      <c r="H7" s="15"/>
      <c r="I7" s="15"/>
      <c r="J7" s="14"/>
      <c r="K7" s="345" t="s">
        <v>3</v>
      </c>
      <c r="L7" s="345"/>
      <c r="M7" s="345"/>
      <c r="N7" s="15"/>
      <c r="O7" s="345" t="s">
        <v>4</v>
      </c>
      <c r="P7" s="345"/>
      <c r="Q7" s="345"/>
      <c r="R7" s="14"/>
      <c r="S7" s="15"/>
      <c r="T7" s="15"/>
      <c r="U7" s="96"/>
      <c r="V7" s="96"/>
      <c r="W7" s="96"/>
      <c r="X7" s="96"/>
      <c r="Y7" s="96"/>
      <c r="Z7" s="96"/>
      <c r="AA7" s="96"/>
    </row>
    <row r="8" spans="1:30" ht="27" customHeight="1">
      <c r="A8" s="344" t="s">
        <v>5</v>
      </c>
      <c r="B8" s="344"/>
      <c r="C8" s="344"/>
      <c r="E8" s="17" t="s">
        <v>6</v>
      </c>
      <c r="F8" s="14"/>
      <c r="G8" s="1" t="s">
        <v>7</v>
      </c>
      <c r="H8" s="14"/>
      <c r="I8" s="1" t="s">
        <v>8</v>
      </c>
      <c r="J8" s="14"/>
      <c r="K8" s="2" t="s">
        <v>6</v>
      </c>
      <c r="L8" s="15"/>
      <c r="M8" s="2" t="s">
        <v>7</v>
      </c>
      <c r="N8" s="14"/>
      <c r="O8" s="2" t="s">
        <v>6</v>
      </c>
      <c r="P8" s="15"/>
      <c r="Q8" s="2" t="s">
        <v>9</v>
      </c>
      <c r="R8" s="14"/>
      <c r="S8" s="1" t="s">
        <v>6</v>
      </c>
      <c r="T8" s="14"/>
      <c r="U8" s="60" t="s">
        <v>10</v>
      </c>
      <c r="V8" s="62"/>
      <c r="W8" s="60" t="s">
        <v>7</v>
      </c>
      <c r="X8" s="62"/>
      <c r="Y8" s="60" t="s">
        <v>8</v>
      </c>
      <c r="Z8" s="62"/>
      <c r="AA8" s="60" t="s">
        <v>11</v>
      </c>
    </row>
    <row r="9" spans="1:30" s="23" customFormat="1" ht="35.1" customHeight="1">
      <c r="A9" s="351" t="s">
        <v>285</v>
      </c>
      <c r="B9" s="351"/>
      <c r="C9" s="351"/>
      <c r="E9" s="42">
        <v>0</v>
      </c>
      <c r="F9" s="77"/>
      <c r="G9" s="42">
        <v>0</v>
      </c>
      <c r="I9" s="42">
        <v>0</v>
      </c>
      <c r="K9" s="24">
        <v>411</v>
      </c>
      <c r="M9" s="24">
        <v>999241</v>
      </c>
      <c r="O9" s="24">
        <v>0</v>
      </c>
      <c r="Q9" s="24">
        <v>0</v>
      </c>
      <c r="S9" s="24">
        <f t="shared" ref="S9:S12" si="0">E9+K9-O9</f>
        <v>411</v>
      </c>
      <c r="U9" s="42">
        <v>2429</v>
      </c>
      <c r="V9" s="77"/>
      <c r="W9" s="42">
        <v>999241</v>
      </c>
      <c r="X9" s="77"/>
      <c r="Y9" s="42">
        <f t="shared" ref="Y9:Y10" si="1">S9*U9*(1-0.00595)</f>
        <v>992379.00194999995</v>
      </c>
      <c r="Z9" s="77"/>
      <c r="AA9" s="89">
        <f>Y9/11973492906908</f>
        <v>8.2881328753905696E-8</v>
      </c>
      <c r="AC9" s="43"/>
      <c r="AD9" s="94"/>
    </row>
    <row r="10" spans="1:30" s="23" customFormat="1" ht="35.1" customHeight="1">
      <c r="A10" s="346" t="s">
        <v>277</v>
      </c>
      <c r="B10" s="346"/>
      <c r="C10" s="346"/>
      <c r="E10" s="42">
        <v>906</v>
      </c>
      <c r="F10" s="77"/>
      <c r="G10" s="42">
        <v>1120830</v>
      </c>
      <c r="I10" s="42">
        <v>1251846.9269999999</v>
      </c>
      <c r="K10" s="24">
        <v>0</v>
      </c>
      <c r="M10" s="24">
        <v>0</v>
      </c>
      <c r="O10" s="24">
        <v>906</v>
      </c>
      <c r="Q10" s="24">
        <v>1290577</v>
      </c>
      <c r="S10" s="24">
        <f t="shared" si="0"/>
        <v>0</v>
      </c>
      <c r="U10" s="42">
        <v>0</v>
      </c>
      <c r="V10" s="77"/>
      <c r="W10" s="24">
        <v>0</v>
      </c>
      <c r="X10" s="77"/>
      <c r="Y10" s="42">
        <f t="shared" si="1"/>
        <v>0</v>
      </c>
      <c r="Z10" s="77"/>
      <c r="AA10" s="89">
        <f t="shared" ref="AA9:AA12" si="2">Y10/11973492906908</f>
        <v>0</v>
      </c>
      <c r="AC10" s="43"/>
      <c r="AD10" s="94"/>
    </row>
    <row r="11" spans="1:30" s="23" customFormat="1" ht="35.1" customHeight="1">
      <c r="A11" s="346" t="s">
        <v>287</v>
      </c>
      <c r="B11" s="346"/>
      <c r="C11" s="346"/>
      <c r="E11" s="42">
        <v>0</v>
      </c>
      <c r="F11" s="77"/>
      <c r="G11" s="42">
        <v>0</v>
      </c>
      <c r="I11" s="42">
        <v>0</v>
      </c>
      <c r="K11" s="24">
        <v>208</v>
      </c>
      <c r="M11" s="24">
        <v>649754</v>
      </c>
      <c r="O11" s="24">
        <v>208</v>
      </c>
      <c r="Q11" s="24">
        <v>684386</v>
      </c>
      <c r="S11" s="24">
        <f>E11+K11-O11</f>
        <v>0</v>
      </c>
      <c r="U11" s="42">
        <v>0</v>
      </c>
      <c r="V11" s="77"/>
      <c r="W11" s="42">
        <v>0</v>
      </c>
      <c r="X11" s="77"/>
      <c r="Y11" s="42">
        <v>0</v>
      </c>
      <c r="Z11" s="77"/>
      <c r="AA11" s="89">
        <f t="shared" si="2"/>
        <v>0</v>
      </c>
      <c r="AC11" s="43"/>
      <c r="AD11" s="94"/>
    </row>
    <row r="12" spans="1:30" s="23" customFormat="1" ht="35.1" customHeight="1">
      <c r="A12" s="346" t="s">
        <v>286</v>
      </c>
      <c r="B12" s="346"/>
      <c r="C12" s="346"/>
      <c r="E12" s="42">
        <v>0</v>
      </c>
      <c r="F12" s="77"/>
      <c r="G12" s="42">
        <v>0</v>
      </c>
      <c r="I12" s="42">
        <v>0</v>
      </c>
      <c r="K12" s="24">
        <v>9000000</v>
      </c>
      <c r="M12" s="24">
        <v>18664932330</v>
      </c>
      <c r="O12" s="24">
        <v>0</v>
      </c>
      <c r="Q12" s="24">
        <v>0</v>
      </c>
      <c r="S12" s="24">
        <f t="shared" si="0"/>
        <v>9000000</v>
      </c>
      <c r="U12" s="42">
        <v>2072</v>
      </c>
      <c r="V12" s="77"/>
      <c r="W12" s="42">
        <v>18664932330</v>
      </c>
      <c r="X12" s="77"/>
      <c r="Y12" s="42">
        <f>S12*U12*(1-0.00595)</f>
        <v>18537044400</v>
      </c>
      <c r="Z12" s="77"/>
      <c r="AA12" s="89">
        <f t="shared" si="2"/>
        <v>1.5481734982533974E-3</v>
      </c>
      <c r="AC12" s="43"/>
      <c r="AD12" s="94"/>
    </row>
    <row r="13" spans="1:30" s="25" customFormat="1" ht="35.1" customHeight="1" thickBot="1">
      <c r="A13" s="343" t="s">
        <v>12</v>
      </c>
      <c r="B13" s="343"/>
      <c r="C13" s="343"/>
      <c r="D13" s="11"/>
      <c r="E13" s="100">
        <f>SUM(E9:E12)</f>
        <v>906</v>
      </c>
      <c r="G13" s="100">
        <f>SUM(G9:G12)</f>
        <v>1120830</v>
      </c>
      <c r="I13" s="100">
        <f>SUM(I9:I12)</f>
        <v>1251846.9269999999</v>
      </c>
      <c r="K13" s="100">
        <f>SUM(K9:K12)</f>
        <v>9000619</v>
      </c>
      <c r="M13" s="100">
        <f>SUM(M9:M12)</f>
        <v>18666581325</v>
      </c>
      <c r="O13" s="103">
        <f>SUM(O9:O12)</f>
        <v>1114</v>
      </c>
      <c r="Q13" s="100">
        <f>SUM(Q9:Q12)</f>
        <v>1974963</v>
      </c>
      <c r="S13" s="100">
        <f>SUM(S9:S12)</f>
        <v>9000411</v>
      </c>
      <c r="U13" s="169"/>
      <c r="V13" s="92"/>
      <c r="W13" s="101">
        <f>SUM(W9:W12)</f>
        <v>18665931571</v>
      </c>
      <c r="X13" s="92"/>
      <c r="Y13" s="101">
        <f>SUM(Y9:Y12)</f>
        <v>18538036779.001949</v>
      </c>
      <c r="Z13" s="92"/>
      <c r="AA13" s="102">
        <f>SUM(AA9:AA12)</f>
        <v>1.5482563795821513E-3</v>
      </c>
      <c r="AD13" s="95"/>
    </row>
    <row r="14" spans="1:30" ht="15.75" thickTop="1"/>
    <row r="19" spans="3:27" ht="15.75">
      <c r="C19" s="164"/>
      <c r="D19" s="164"/>
      <c r="E19" s="164"/>
      <c r="F19" s="349"/>
      <c r="G19" s="349"/>
      <c r="H19" s="349"/>
      <c r="I19" s="349"/>
      <c r="J19" s="349"/>
      <c r="K19" s="349"/>
      <c r="L19" s="349"/>
      <c r="M19" s="349"/>
      <c r="N19" s="349"/>
      <c r="O19" s="349"/>
      <c r="P19" s="349"/>
      <c r="Q19" s="349"/>
      <c r="R19" s="76"/>
      <c r="S19" s="349"/>
      <c r="T19" s="349"/>
      <c r="U19" s="347"/>
      <c r="V19" s="348"/>
    </row>
    <row r="21" spans="3:27">
      <c r="Q21" s="98"/>
      <c r="AA21" s="97"/>
    </row>
    <row r="22" spans="3:27">
      <c r="M22" s="350"/>
      <c r="N22" s="350"/>
      <c r="O22" s="350"/>
      <c r="Q22" s="99"/>
    </row>
    <row r="23" spans="3:27">
      <c r="M23" s="99"/>
    </row>
  </sheetData>
  <mergeCells count="23">
    <mergeCell ref="M22:O22"/>
    <mergeCell ref="S19:T19"/>
    <mergeCell ref="A12:C12"/>
    <mergeCell ref="A9:C9"/>
    <mergeCell ref="A10:C10"/>
    <mergeCell ref="U19:V19"/>
    <mergeCell ref="F19:H19"/>
    <mergeCell ref="I19:J19"/>
    <mergeCell ref="K19:M19"/>
    <mergeCell ref="N19:Q19"/>
    <mergeCell ref="A5:AA5"/>
    <mergeCell ref="A13:C13"/>
    <mergeCell ref="A1:AA1"/>
    <mergeCell ref="A2:AA2"/>
    <mergeCell ref="A3:AA3"/>
    <mergeCell ref="A4:AA4"/>
    <mergeCell ref="E6:I6"/>
    <mergeCell ref="K6:Q6"/>
    <mergeCell ref="S6:AA6"/>
    <mergeCell ref="K7:M7"/>
    <mergeCell ref="O7:Q7"/>
    <mergeCell ref="A8:C8"/>
    <mergeCell ref="A11:C11"/>
  </mergeCells>
  <pageMargins left="0.39" right="0.39" top="0.39" bottom="0.39" header="0" footer="0"/>
  <pageSetup scale="56" fitToHeight="0" orientation="landscape" r:id="rId1"/>
  <ignoredErrors>
    <ignoredError sqref="F13 H1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249977111117893"/>
    <pageSetUpPr fitToPage="1"/>
  </sheetPr>
  <dimension ref="A1:AO26"/>
  <sheetViews>
    <sheetView rightToLeft="1" view="pageBreakPreview" topLeftCell="B1" zoomScale="80" zoomScaleNormal="100" zoomScaleSheetLayoutView="80" workbookViewId="0">
      <selection activeCell="V28" sqref="V28"/>
    </sheetView>
  </sheetViews>
  <sheetFormatPr defaultRowHeight="30" customHeight="1"/>
  <cols>
    <col min="1" max="1" width="5.140625" style="12" customWidth="1"/>
    <col min="2" max="2" width="28.5703125" style="12" customWidth="1"/>
    <col min="3" max="3" width="1.28515625" style="12" customWidth="1"/>
    <col min="4" max="4" width="13.140625" style="54" customWidth="1"/>
    <col min="5" max="5" width="1.28515625" style="54" customWidth="1"/>
    <col min="6" max="6" width="15" style="54" customWidth="1"/>
    <col min="7" max="7" width="1.28515625" style="54" customWidth="1"/>
    <col min="8" max="8" width="13" style="54" customWidth="1"/>
    <col min="9" max="9" width="1.28515625" style="54" customWidth="1"/>
    <col min="10" max="10" width="13" style="54" customWidth="1"/>
    <col min="11" max="11" width="1.28515625" style="54" customWidth="1"/>
    <col min="12" max="12" width="8.85546875" style="54" customWidth="1"/>
    <col min="13" max="13" width="1.28515625" style="54" customWidth="1"/>
    <col min="14" max="14" width="13" style="54" customWidth="1"/>
    <col min="15" max="15" width="1.28515625" style="54" customWidth="1"/>
    <col min="16" max="16" width="13" style="54" customWidth="1"/>
    <col min="17" max="17" width="1.28515625" style="54" customWidth="1"/>
    <col min="18" max="18" width="20.7109375" style="54" bestFit="1" customWidth="1"/>
    <col min="19" max="19" width="1.28515625" style="54" customWidth="1"/>
    <col min="20" max="20" width="20.7109375" style="54" bestFit="1" customWidth="1"/>
    <col min="21" max="21" width="1.28515625" style="54" customWidth="1"/>
    <col min="22" max="22" width="13" style="54" customWidth="1"/>
    <col min="23" max="23" width="1.28515625" style="54" customWidth="1"/>
    <col min="24" max="24" width="18.5703125" style="54" customWidth="1"/>
    <col min="25" max="25" width="1.28515625" style="54" customWidth="1"/>
    <col min="26" max="26" width="13" style="54" customWidth="1"/>
    <col min="27" max="27" width="1.28515625" style="54" customWidth="1"/>
    <col min="28" max="28" width="18.7109375" style="54" bestFit="1" customWidth="1"/>
    <col min="29" max="29" width="1.28515625" style="54" customWidth="1"/>
    <col min="30" max="30" width="15.5703125" style="54" customWidth="1"/>
    <col min="31" max="31" width="1.28515625" style="12" customWidth="1"/>
    <col min="32" max="32" width="16.7109375" style="54" customWidth="1"/>
    <col min="33" max="33" width="1.28515625" style="54" customWidth="1"/>
    <col min="34" max="34" width="20.7109375" style="54" bestFit="1" customWidth="1"/>
    <col min="35" max="35" width="0.7109375" style="54" customWidth="1"/>
    <col min="36" max="36" width="20.7109375" style="54" bestFit="1" customWidth="1"/>
    <col min="37" max="37" width="1.28515625" style="12" customWidth="1"/>
    <col min="38" max="38" width="13" style="160" customWidth="1"/>
    <col min="39" max="39" width="8.5703125" style="12" customWidth="1"/>
    <col min="40" max="40" width="31.140625" style="12" customWidth="1"/>
    <col min="41" max="41" width="9.140625" style="30"/>
    <col min="42" max="16384" width="9.140625" style="12"/>
  </cols>
  <sheetData>
    <row r="1" spans="1:41" ht="30" customHeight="1">
      <c r="A1" s="343" t="s">
        <v>0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3"/>
      <c r="V1" s="343"/>
      <c r="W1" s="343"/>
      <c r="X1" s="343"/>
      <c r="Y1" s="343"/>
      <c r="Z1" s="343"/>
      <c r="AA1" s="343"/>
      <c r="AB1" s="343"/>
      <c r="AC1" s="343"/>
      <c r="AD1" s="343"/>
      <c r="AE1" s="343"/>
      <c r="AF1" s="343"/>
      <c r="AG1" s="343"/>
      <c r="AH1" s="343"/>
      <c r="AI1" s="343"/>
      <c r="AJ1" s="343"/>
      <c r="AK1" s="343"/>
      <c r="AL1" s="343"/>
    </row>
    <row r="2" spans="1:41" ht="30" customHeight="1">
      <c r="A2" s="343" t="s">
        <v>1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343"/>
      <c r="X2" s="343"/>
      <c r="Y2" s="343"/>
      <c r="Z2" s="343"/>
      <c r="AA2" s="343"/>
      <c r="AB2" s="343"/>
      <c r="AC2" s="343"/>
      <c r="AD2" s="343"/>
      <c r="AE2" s="343"/>
      <c r="AF2" s="343"/>
      <c r="AG2" s="343"/>
      <c r="AH2" s="343"/>
      <c r="AI2" s="343"/>
      <c r="AJ2" s="343"/>
      <c r="AK2" s="343"/>
      <c r="AL2" s="343"/>
    </row>
    <row r="3" spans="1:41" ht="30" customHeight="1">
      <c r="A3" s="343" t="s">
        <v>283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343"/>
      <c r="S3" s="343"/>
      <c r="T3" s="343"/>
      <c r="U3" s="343"/>
      <c r="V3" s="343"/>
      <c r="W3" s="343"/>
      <c r="X3" s="343"/>
      <c r="Y3" s="343"/>
      <c r="Z3" s="343"/>
      <c r="AA3" s="343"/>
      <c r="AB3" s="343"/>
      <c r="AC3" s="343"/>
      <c r="AD3" s="343"/>
      <c r="AE3" s="343"/>
      <c r="AF3" s="343"/>
      <c r="AG3" s="343"/>
      <c r="AH3" s="343"/>
      <c r="AI3" s="343"/>
      <c r="AJ3" s="343"/>
      <c r="AK3" s="343"/>
      <c r="AL3" s="343"/>
      <c r="AN3" s="71"/>
    </row>
    <row r="4" spans="1:41" s="13" customFormat="1" ht="30" customHeight="1">
      <c r="A4" s="342" t="s">
        <v>149</v>
      </c>
      <c r="B4" s="342"/>
      <c r="C4" s="342"/>
      <c r="D4" s="342"/>
      <c r="E4" s="342"/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342"/>
      <c r="S4" s="342"/>
      <c r="T4" s="342"/>
      <c r="U4" s="342"/>
      <c r="V4" s="342"/>
      <c r="W4" s="342"/>
      <c r="X4" s="342"/>
      <c r="Y4" s="342"/>
      <c r="Z4" s="342"/>
      <c r="AA4" s="342"/>
      <c r="AB4" s="342"/>
      <c r="AC4" s="342"/>
      <c r="AD4" s="342"/>
      <c r="AE4" s="342"/>
      <c r="AF4" s="342"/>
      <c r="AG4" s="342"/>
      <c r="AH4" s="342"/>
      <c r="AI4" s="342"/>
      <c r="AJ4" s="342"/>
      <c r="AK4" s="342"/>
      <c r="AL4" s="342"/>
      <c r="AO4" s="44"/>
    </row>
    <row r="5" spans="1:41" ht="30" customHeight="1">
      <c r="A5" s="344" t="s">
        <v>29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44"/>
      <c r="P5" s="352" t="s">
        <v>275</v>
      </c>
      <c r="Q5" s="352"/>
      <c r="R5" s="352"/>
      <c r="S5" s="352"/>
      <c r="T5" s="352"/>
      <c r="V5" s="353" t="s">
        <v>2</v>
      </c>
      <c r="W5" s="353"/>
      <c r="X5" s="353"/>
      <c r="Y5" s="353"/>
      <c r="Z5" s="353"/>
      <c r="AA5" s="353"/>
      <c r="AB5" s="353"/>
      <c r="AD5" s="344" t="s">
        <v>284</v>
      </c>
      <c r="AE5" s="344"/>
      <c r="AF5" s="344"/>
      <c r="AG5" s="344"/>
      <c r="AH5" s="344"/>
      <c r="AI5" s="344"/>
      <c r="AJ5" s="344"/>
      <c r="AK5" s="344"/>
      <c r="AL5" s="344"/>
    </row>
    <row r="6" spans="1:41" ht="30" customHeight="1">
      <c r="A6" s="26"/>
      <c r="B6" s="26"/>
      <c r="C6" s="26"/>
      <c r="D6" s="357" t="s">
        <v>31</v>
      </c>
      <c r="E6" s="80"/>
      <c r="F6" s="357" t="s">
        <v>32</v>
      </c>
      <c r="G6" s="80"/>
      <c r="H6" s="357" t="s">
        <v>33</v>
      </c>
      <c r="I6" s="80"/>
      <c r="J6" s="359" t="s">
        <v>34</v>
      </c>
      <c r="K6" s="80"/>
      <c r="L6" s="357" t="s">
        <v>35</v>
      </c>
      <c r="M6" s="80"/>
      <c r="N6" s="359" t="s">
        <v>17</v>
      </c>
      <c r="O6" s="80"/>
      <c r="P6" s="359" t="s">
        <v>6</v>
      </c>
      <c r="Q6" s="80"/>
      <c r="R6" s="359" t="s">
        <v>7</v>
      </c>
      <c r="S6" s="80"/>
      <c r="T6" s="359" t="s">
        <v>8</v>
      </c>
      <c r="V6" s="354" t="s">
        <v>3</v>
      </c>
      <c r="W6" s="354"/>
      <c r="X6" s="354"/>
      <c r="Y6" s="80"/>
      <c r="Z6" s="354" t="s">
        <v>4</v>
      </c>
      <c r="AA6" s="354"/>
      <c r="AB6" s="354"/>
      <c r="AD6" s="80"/>
      <c r="AE6" s="26"/>
      <c r="AF6" s="80"/>
      <c r="AG6" s="80"/>
      <c r="AH6" s="80"/>
      <c r="AI6" s="80"/>
      <c r="AJ6" s="80"/>
      <c r="AK6" s="26"/>
      <c r="AL6" s="158"/>
    </row>
    <row r="7" spans="1:41" ht="40.5" customHeight="1">
      <c r="A7" s="344" t="s">
        <v>30</v>
      </c>
      <c r="B7" s="344"/>
      <c r="D7" s="358"/>
      <c r="F7" s="358"/>
      <c r="H7" s="358"/>
      <c r="J7" s="360"/>
      <c r="L7" s="358"/>
      <c r="N7" s="360"/>
      <c r="P7" s="360"/>
      <c r="R7" s="360"/>
      <c r="T7" s="360"/>
      <c r="V7" s="81" t="s">
        <v>6</v>
      </c>
      <c r="W7" s="80"/>
      <c r="X7" s="81" t="s">
        <v>7</v>
      </c>
      <c r="Z7" s="81" t="s">
        <v>6</v>
      </c>
      <c r="AA7" s="80"/>
      <c r="AB7" s="81" t="s">
        <v>9</v>
      </c>
      <c r="AD7" s="60" t="s">
        <v>6</v>
      </c>
      <c r="AF7" s="166" t="s">
        <v>10</v>
      </c>
      <c r="AH7" s="60" t="s">
        <v>7</v>
      </c>
      <c r="AJ7" s="60" t="s">
        <v>8</v>
      </c>
      <c r="AL7" s="159" t="s">
        <v>11</v>
      </c>
    </row>
    <row r="8" spans="1:41" s="54" customFormat="1" ht="30" customHeight="1">
      <c r="A8" s="355" t="s">
        <v>36</v>
      </c>
      <c r="B8" s="355"/>
      <c r="D8" s="121" t="s">
        <v>37</v>
      </c>
      <c r="E8" s="62"/>
      <c r="F8" s="121" t="s">
        <v>37</v>
      </c>
      <c r="G8" s="62"/>
      <c r="H8" s="121" t="s">
        <v>38</v>
      </c>
      <c r="I8" s="62"/>
      <c r="J8" s="121" t="s">
        <v>39</v>
      </c>
      <c r="L8" s="122">
        <v>0</v>
      </c>
      <c r="M8" s="123"/>
      <c r="N8" s="122">
        <v>0</v>
      </c>
      <c r="P8" s="112">
        <v>572209</v>
      </c>
      <c r="Q8" s="62"/>
      <c r="R8" s="112">
        <v>347719790107</v>
      </c>
      <c r="S8" s="62"/>
      <c r="T8" s="112">
        <v>370729947105.82117</v>
      </c>
      <c r="U8" s="62"/>
      <c r="V8" s="115">
        <v>55048</v>
      </c>
      <c r="W8" s="155"/>
      <c r="X8" s="156">
        <v>36468622502</v>
      </c>
      <c r="Y8" s="88"/>
      <c r="Z8" s="115">
        <v>6000</v>
      </c>
      <c r="AA8" s="155"/>
      <c r="AB8" s="115">
        <v>3931287326</v>
      </c>
      <c r="AC8" s="62"/>
      <c r="AD8" s="112">
        <f>P8+V8-Z8</f>
        <v>621257</v>
      </c>
      <c r="AE8" s="62"/>
      <c r="AF8" s="168">
        <v>669800</v>
      </c>
      <c r="AG8" s="62"/>
      <c r="AH8" s="112">
        <v>380542334445</v>
      </c>
      <c r="AI8" s="62"/>
      <c r="AJ8" s="112">
        <v>416042517224</v>
      </c>
      <c r="AK8" s="62"/>
      <c r="AL8" s="89">
        <f t="shared" ref="AL8:AL25" si="0">AJ8/11973492906908</f>
        <v>3.4746963184315915E-2</v>
      </c>
      <c r="AN8" s="97"/>
      <c r="AO8" s="273"/>
    </row>
    <row r="9" spans="1:41" s="54" customFormat="1" ht="30" customHeight="1">
      <c r="A9" s="356" t="s">
        <v>40</v>
      </c>
      <c r="B9" s="356"/>
      <c r="D9" s="124" t="s">
        <v>37</v>
      </c>
      <c r="E9" s="62"/>
      <c r="F9" s="124" t="s">
        <v>37</v>
      </c>
      <c r="G9" s="62"/>
      <c r="H9" s="124" t="s">
        <v>38</v>
      </c>
      <c r="I9" s="62"/>
      <c r="J9" s="124" t="s">
        <v>41</v>
      </c>
      <c r="L9" s="125">
        <v>0</v>
      </c>
      <c r="M9" s="123"/>
      <c r="N9" s="125">
        <v>0</v>
      </c>
      <c r="P9" s="113">
        <v>605146</v>
      </c>
      <c r="Q9" s="62"/>
      <c r="R9" s="113">
        <v>334623867768</v>
      </c>
      <c r="S9" s="62"/>
      <c r="T9" s="113">
        <v>364358920634</v>
      </c>
      <c r="U9" s="62"/>
      <c r="V9" s="156">
        <v>55016</v>
      </c>
      <c r="W9" s="155"/>
      <c r="X9" s="156">
        <v>33742383380</v>
      </c>
      <c r="Y9" s="88"/>
      <c r="Z9" s="156">
        <v>0</v>
      </c>
      <c r="AA9" s="155"/>
      <c r="AB9" s="156">
        <v>0</v>
      </c>
      <c r="AC9" s="62"/>
      <c r="AD9" s="113">
        <f>P9+V9-Z9</f>
        <v>660162</v>
      </c>
      <c r="AE9" s="62"/>
      <c r="AF9" s="272">
        <v>623800</v>
      </c>
      <c r="AG9" s="62"/>
      <c r="AH9" s="113">
        <v>368366251148</v>
      </c>
      <c r="AI9" s="62"/>
      <c r="AJ9" s="113">
        <v>411734415209</v>
      </c>
      <c r="AK9" s="62"/>
      <c r="AL9" s="89">
        <f t="shared" si="0"/>
        <v>3.4387159904813863E-2</v>
      </c>
      <c r="AN9" s="97"/>
      <c r="AO9" s="273"/>
    </row>
    <row r="10" spans="1:41" s="54" customFormat="1" ht="30" customHeight="1">
      <c r="A10" s="356" t="s">
        <v>42</v>
      </c>
      <c r="B10" s="356"/>
      <c r="D10" s="124" t="s">
        <v>37</v>
      </c>
      <c r="E10" s="62"/>
      <c r="F10" s="124" t="s">
        <v>37</v>
      </c>
      <c r="G10" s="62"/>
      <c r="H10" s="124" t="s">
        <v>43</v>
      </c>
      <c r="I10" s="62"/>
      <c r="J10" s="124" t="s">
        <v>44</v>
      </c>
      <c r="L10" s="125">
        <v>0</v>
      </c>
      <c r="M10" s="123"/>
      <c r="N10" s="125">
        <v>0</v>
      </c>
      <c r="P10" s="113">
        <v>205088</v>
      </c>
      <c r="Q10" s="62"/>
      <c r="R10" s="113">
        <v>131995465347</v>
      </c>
      <c r="S10" s="62"/>
      <c r="T10" s="113">
        <v>146227896829</v>
      </c>
      <c r="U10" s="62"/>
      <c r="V10" s="156">
        <v>0</v>
      </c>
      <c r="W10" s="155"/>
      <c r="X10" s="156">
        <v>0</v>
      </c>
      <c r="Y10" s="88"/>
      <c r="Z10" s="156">
        <v>0</v>
      </c>
      <c r="AA10" s="155"/>
      <c r="AB10" s="156">
        <v>0</v>
      </c>
      <c r="AC10" s="62"/>
      <c r="AD10" s="113">
        <f>P10+V10-Z10</f>
        <v>205088</v>
      </c>
      <c r="AE10" s="62"/>
      <c r="AF10" s="272">
        <v>729510</v>
      </c>
      <c r="AG10" s="62"/>
      <c r="AH10" s="113">
        <v>131995465347</v>
      </c>
      <c r="AI10" s="62"/>
      <c r="AJ10" s="113">
        <v>149586629388</v>
      </c>
      <c r="AK10" s="62"/>
      <c r="AL10" s="89">
        <f t="shared" si="0"/>
        <v>1.2493148870677271E-2</v>
      </c>
      <c r="AN10" s="97"/>
      <c r="AO10" s="273"/>
    </row>
    <row r="11" spans="1:41" s="54" customFormat="1" ht="30" customHeight="1">
      <c r="A11" s="356" t="s">
        <v>64</v>
      </c>
      <c r="B11" s="356"/>
      <c r="D11" s="124" t="s">
        <v>37</v>
      </c>
      <c r="E11" s="62"/>
      <c r="F11" s="124" t="s">
        <v>37</v>
      </c>
      <c r="G11" s="62"/>
      <c r="H11" s="124" t="s">
        <v>38</v>
      </c>
      <c r="I11" s="62"/>
      <c r="J11" s="124" t="s">
        <v>65</v>
      </c>
      <c r="L11" s="125">
        <v>0</v>
      </c>
      <c r="M11" s="123"/>
      <c r="N11" s="125">
        <v>0</v>
      </c>
      <c r="P11" s="113">
        <v>451856</v>
      </c>
      <c r="Q11" s="62"/>
      <c r="R11" s="113">
        <v>259592847996</v>
      </c>
      <c r="S11" s="62"/>
      <c r="T11" s="113">
        <v>279675275027</v>
      </c>
      <c r="U11" s="62"/>
      <c r="V11" s="156">
        <v>129378</v>
      </c>
      <c r="W11" s="155"/>
      <c r="X11" s="156">
        <v>81925069169</v>
      </c>
      <c r="Y11" s="88"/>
      <c r="Z11" s="156">
        <v>14000</v>
      </c>
      <c r="AA11" s="155"/>
      <c r="AB11" s="156">
        <v>8888388690</v>
      </c>
      <c r="AC11" s="62"/>
      <c r="AD11" s="113">
        <f>P11+V11-Z11</f>
        <v>567234</v>
      </c>
      <c r="AE11" s="62"/>
      <c r="AF11" s="272">
        <v>633490</v>
      </c>
      <c r="AG11" s="62"/>
      <c r="AH11" s="113">
        <v>333304195379</v>
      </c>
      <c r="AI11" s="62"/>
      <c r="AJ11" s="113">
        <v>359271936817</v>
      </c>
      <c r="AK11" s="62"/>
      <c r="AL11" s="233">
        <f t="shared" si="0"/>
        <v>3.0005608188878725E-2</v>
      </c>
      <c r="AN11" s="97"/>
      <c r="AO11" s="273"/>
    </row>
    <row r="12" spans="1:41" s="54" customFormat="1" ht="30" customHeight="1">
      <c r="A12" s="356" t="s">
        <v>45</v>
      </c>
      <c r="B12" s="356"/>
      <c r="D12" s="124" t="s">
        <v>37</v>
      </c>
      <c r="E12" s="62"/>
      <c r="F12" s="124" t="s">
        <v>37</v>
      </c>
      <c r="G12" s="62"/>
      <c r="H12" s="124" t="s">
        <v>43</v>
      </c>
      <c r="I12" s="62"/>
      <c r="J12" s="124" t="s">
        <v>46</v>
      </c>
      <c r="L12" s="125">
        <v>0</v>
      </c>
      <c r="M12" s="123"/>
      <c r="N12" s="125">
        <v>0</v>
      </c>
      <c r="P12" s="113">
        <v>193181</v>
      </c>
      <c r="Q12" s="62"/>
      <c r="R12" s="113">
        <v>111138560333</v>
      </c>
      <c r="S12" s="62"/>
      <c r="T12" s="113">
        <v>118688208362</v>
      </c>
      <c r="U12" s="62"/>
      <c r="V12" s="156">
        <v>0</v>
      </c>
      <c r="W12" s="155"/>
      <c r="X12" s="156">
        <v>0</v>
      </c>
      <c r="Y12" s="88"/>
      <c r="Z12" s="156">
        <v>85</v>
      </c>
      <c r="AA12" s="155"/>
      <c r="AB12" s="156">
        <v>53790152</v>
      </c>
      <c r="AC12" s="62"/>
      <c r="AD12" s="113">
        <f>P12+V12-Z12</f>
        <v>193096</v>
      </c>
      <c r="AE12" s="62"/>
      <c r="AF12" s="272">
        <v>629500</v>
      </c>
      <c r="AG12" s="62"/>
      <c r="AH12" s="113">
        <v>111089659159</v>
      </c>
      <c r="AI12" s="62"/>
      <c r="AJ12" s="113">
        <v>121531900350</v>
      </c>
      <c r="AK12" s="62"/>
      <c r="AL12" s="89">
        <f t="shared" si="0"/>
        <v>1.0150079120177475E-2</v>
      </c>
      <c r="AN12" s="97"/>
      <c r="AO12" s="273"/>
    </row>
    <row r="13" spans="1:41" s="54" customFormat="1" ht="30" customHeight="1">
      <c r="A13" s="356" t="s">
        <v>201</v>
      </c>
      <c r="B13" s="356"/>
      <c r="C13" s="274"/>
      <c r="D13" s="124" t="s">
        <v>37</v>
      </c>
      <c r="E13" s="62"/>
      <c r="F13" s="124" t="s">
        <v>37</v>
      </c>
      <c r="G13" s="62"/>
      <c r="H13" s="124" t="s">
        <v>126</v>
      </c>
      <c r="I13" s="62"/>
      <c r="J13" s="124" t="s">
        <v>202</v>
      </c>
      <c r="L13" s="125">
        <v>0</v>
      </c>
      <c r="M13" s="123"/>
      <c r="N13" s="125">
        <v>0</v>
      </c>
      <c r="P13" s="113">
        <v>54000</v>
      </c>
      <c r="Q13" s="62"/>
      <c r="R13" s="113">
        <v>42016425686</v>
      </c>
      <c r="S13" s="62"/>
      <c r="T13" s="113">
        <v>45125019607.5</v>
      </c>
      <c r="U13" s="62"/>
      <c r="V13" s="156">
        <v>0</v>
      </c>
      <c r="W13" s="155"/>
      <c r="X13" s="156">
        <v>0</v>
      </c>
      <c r="Y13" s="88"/>
      <c r="Z13" s="156">
        <v>15990</v>
      </c>
      <c r="AA13" s="155"/>
      <c r="AB13" s="156">
        <v>13673189492</v>
      </c>
      <c r="AC13" s="62"/>
      <c r="AD13" s="113">
        <f t="shared" ref="AD13:AD25" si="1">P13+V13-Z13</f>
        <v>38010</v>
      </c>
      <c r="AE13" s="62"/>
      <c r="AF13" s="272">
        <v>855000</v>
      </c>
      <c r="AG13" s="62"/>
      <c r="AH13" s="113">
        <v>29574895192</v>
      </c>
      <c r="AI13" s="62"/>
      <c r="AJ13" s="113">
        <v>32492659638</v>
      </c>
      <c r="AK13" s="62"/>
      <c r="AL13" s="89">
        <f t="shared" si="0"/>
        <v>2.7137160301196361E-3</v>
      </c>
      <c r="AN13" s="97"/>
      <c r="AO13" s="273"/>
    </row>
    <row r="14" spans="1:41" s="54" customFormat="1" ht="30" customHeight="1">
      <c r="A14" s="356" t="s">
        <v>47</v>
      </c>
      <c r="B14" s="356"/>
      <c r="D14" s="124" t="s">
        <v>37</v>
      </c>
      <c r="E14" s="62"/>
      <c r="F14" s="124" t="s">
        <v>37</v>
      </c>
      <c r="G14" s="62"/>
      <c r="H14" s="124" t="s">
        <v>48</v>
      </c>
      <c r="I14" s="62"/>
      <c r="J14" s="124" t="s">
        <v>49</v>
      </c>
      <c r="L14" s="125">
        <v>0.23</v>
      </c>
      <c r="M14" s="123"/>
      <c r="N14" s="125">
        <v>0.23</v>
      </c>
      <c r="P14" s="113">
        <v>500000</v>
      </c>
      <c r="Q14" s="62"/>
      <c r="R14" s="113">
        <v>500000000000</v>
      </c>
      <c r="S14" s="62"/>
      <c r="T14" s="113">
        <v>548900493750</v>
      </c>
      <c r="U14" s="62"/>
      <c r="V14" s="156">
        <v>0</v>
      </c>
      <c r="W14" s="155"/>
      <c r="X14" s="156">
        <v>0</v>
      </c>
      <c r="Y14" s="88"/>
      <c r="Z14" s="156">
        <v>0</v>
      </c>
      <c r="AA14" s="155"/>
      <c r="AB14" s="156">
        <v>0</v>
      </c>
      <c r="AC14" s="62"/>
      <c r="AD14" s="113">
        <f t="shared" si="1"/>
        <v>500000</v>
      </c>
      <c r="AE14" s="62"/>
      <c r="AF14" s="272">
        <v>1000000</v>
      </c>
      <c r="AG14" s="62"/>
      <c r="AH14" s="113">
        <v>500000000000</v>
      </c>
      <c r="AI14" s="62"/>
      <c r="AJ14" s="113">
        <v>499909375000</v>
      </c>
      <c r="AK14" s="62"/>
      <c r="AL14" s="89">
        <f t="shared" si="0"/>
        <v>4.1751340138313504E-2</v>
      </c>
      <c r="AN14" s="97"/>
      <c r="AO14" s="273"/>
    </row>
    <row r="15" spans="1:41" s="54" customFormat="1" ht="30" customHeight="1">
      <c r="A15" s="356" t="s">
        <v>50</v>
      </c>
      <c r="B15" s="356"/>
      <c r="D15" s="124" t="s">
        <v>37</v>
      </c>
      <c r="E15" s="62"/>
      <c r="F15" s="124" t="s">
        <v>37</v>
      </c>
      <c r="G15" s="62"/>
      <c r="H15" s="124" t="s">
        <v>51</v>
      </c>
      <c r="I15" s="62"/>
      <c r="J15" s="124" t="s">
        <v>52</v>
      </c>
      <c r="L15" s="125">
        <v>0.23</v>
      </c>
      <c r="M15" s="123"/>
      <c r="N15" s="125">
        <v>0.23</v>
      </c>
      <c r="P15" s="113">
        <v>450000</v>
      </c>
      <c r="Q15" s="62"/>
      <c r="R15" s="113">
        <v>450119595536</v>
      </c>
      <c r="S15" s="62"/>
      <c r="T15" s="113">
        <v>449918437500</v>
      </c>
      <c r="U15" s="62"/>
      <c r="V15" s="156">
        <v>0</v>
      </c>
      <c r="W15" s="155"/>
      <c r="X15" s="156">
        <v>0</v>
      </c>
      <c r="Y15" s="88"/>
      <c r="Z15" s="156">
        <v>0</v>
      </c>
      <c r="AA15" s="155"/>
      <c r="AB15" s="156">
        <v>0</v>
      </c>
      <c r="AC15" s="62"/>
      <c r="AD15" s="113">
        <f>P15+V15-Z15</f>
        <v>450000</v>
      </c>
      <c r="AE15" s="62"/>
      <c r="AF15" s="272">
        <v>1000000</v>
      </c>
      <c r="AG15" s="62"/>
      <c r="AH15" s="113">
        <v>450119595536</v>
      </c>
      <c r="AI15" s="62"/>
      <c r="AJ15" s="113">
        <v>449918437500</v>
      </c>
      <c r="AK15" s="62"/>
      <c r="AL15" s="89">
        <f t="shared" si="0"/>
        <v>3.7576206124482155E-2</v>
      </c>
      <c r="AN15" s="97"/>
      <c r="AO15" s="273"/>
    </row>
    <row r="16" spans="1:41" s="54" customFormat="1" ht="30" customHeight="1">
      <c r="A16" s="356" t="s">
        <v>55</v>
      </c>
      <c r="B16" s="356"/>
      <c r="D16" s="124" t="s">
        <v>37</v>
      </c>
      <c r="E16" s="62"/>
      <c r="F16" s="124" t="s">
        <v>37</v>
      </c>
      <c r="G16" s="62"/>
      <c r="H16" s="124" t="s">
        <v>56</v>
      </c>
      <c r="I16" s="62"/>
      <c r="J16" s="124" t="s">
        <v>57</v>
      </c>
      <c r="L16" s="126">
        <v>0.20499999999999999</v>
      </c>
      <c r="M16" s="127"/>
      <c r="N16" s="126">
        <v>0.20499999999999999</v>
      </c>
      <c r="P16" s="113">
        <v>95000</v>
      </c>
      <c r="Q16" s="62"/>
      <c r="R16" s="113">
        <v>89772579934</v>
      </c>
      <c r="S16" s="62"/>
      <c r="T16" s="113">
        <v>90233642188</v>
      </c>
      <c r="U16" s="62"/>
      <c r="V16" s="156">
        <v>0</v>
      </c>
      <c r="W16" s="155"/>
      <c r="X16" s="156">
        <v>0</v>
      </c>
      <c r="Y16" s="88"/>
      <c r="Z16" s="156">
        <v>0</v>
      </c>
      <c r="AA16" s="155"/>
      <c r="AB16" s="156">
        <v>0</v>
      </c>
      <c r="AC16" s="62"/>
      <c r="AD16" s="113">
        <f t="shared" si="1"/>
        <v>95000</v>
      </c>
      <c r="AE16" s="62"/>
      <c r="AF16" s="272">
        <v>957650</v>
      </c>
      <c r="AG16" s="62"/>
      <c r="AH16" s="113">
        <v>89772579934</v>
      </c>
      <c r="AI16" s="62"/>
      <c r="AJ16" s="113">
        <v>90960260464</v>
      </c>
      <c r="AK16" s="62"/>
      <c r="AL16" s="89">
        <f t="shared" si="0"/>
        <v>7.5968024678514058E-3</v>
      </c>
      <c r="AN16" s="97"/>
      <c r="AO16" s="273"/>
    </row>
    <row r="17" spans="1:41" s="54" customFormat="1" ht="30" customHeight="1">
      <c r="A17" s="356" t="s">
        <v>59</v>
      </c>
      <c r="B17" s="356"/>
      <c r="D17" s="124" t="s">
        <v>37</v>
      </c>
      <c r="E17" s="62"/>
      <c r="F17" s="124" t="s">
        <v>37</v>
      </c>
      <c r="G17" s="62"/>
      <c r="H17" s="124" t="s">
        <v>58</v>
      </c>
      <c r="I17" s="62"/>
      <c r="J17" s="124" t="s">
        <v>60</v>
      </c>
      <c r="L17" s="126">
        <v>0.20499999999999999</v>
      </c>
      <c r="M17" s="127"/>
      <c r="N17" s="126">
        <v>0.20499999999999999</v>
      </c>
      <c r="P17" s="113">
        <v>41340</v>
      </c>
      <c r="Q17" s="62"/>
      <c r="R17" s="113">
        <v>38781880800</v>
      </c>
      <c r="S17" s="62"/>
      <c r="T17" s="113">
        <v>38087491991</v>
      </c>
      <c r="U17" s="62"/>
      <c r="V17" s="156">
        <v>0</v>
      </c>
      <c r="W17" s="155"/>
      <c r="X17" s="156">
        <v>0</v>
      </c>
      <c r="Y17" s="88"/>
      <c r="Z17" s="156">
        <v>0</v>
      </c>
      <c r="AA17" s="155"/>
      <c r="AB17" s="156">
        <v>0</v>
      </c>
      <c r="AC17" s="62"/>
      <c r="AD17" s="113">
        <f t="shared" si="1"/>
        <v>41340</v>
      </c>
      <c r="AE17" s="62"/>
      <c r="AF17" s="272">
        <v>943550</v>
      </c>
      <c r="AG17" s="62"/>
      <c r="AH17" s="113">
        <v>38781880800</v>
      </c>
      <c r="AI17" s="62"/>
      <c r="AJ17" s="113">
        <v>38999287098</v>
      </c>
      <c r="AK17" s="62"/>
      <c r="AL17" s="89">
        <f t="shared" si="0"/>
        <v>3.2571353573441972E-3</v>
      </c>
      <c r="AN17" s="97"/>
      <c r="AO17" s="273"/>
    </row>
    <row r="18" spans="1:41" s="54" customFormat="1" ht="30" customHeight="1">
      <c r="A18" s="356" t="s">
        <v>61</v>
      </c>
      <c r="B18" s="356"/>
      <c r="D18" s="124" t="s">
        <v>37</v>
      </c>
      <c r="E18" s="62"/>
      <c r="F18" s="124" t="s">
        <v>37</v>
      </c>
      <c r="G18" s="62"/>
      <c r="H18" s="124" t="s">
        <v>62</v>
      </c>
      <c r="I18" s="62"/>
      <c r="J18" s="124" t="s">
        <v>63</v>
      </c>
      <c r="L18" s="125">
        <v>0.23</v>
      </c>
      <c r="M18" s="123"/>
      <c r="N18" s="125">
        <v>0.23</v>
      </c>
      <c r="P18" s="113">
        <v>200000</v>
      </c>
      <c r="Q18" s="62"/>
      <c r="R18" s="113">
        <v>200000000000</v>
      </c>
      <c r="S18" s="62"/>
      <c r="T18" s="113">
        <v>199963750000</v>
      </c>
      <c r="U18" s="62"/>
      <c r="V18" s="156">
        <v>0</v>
      </c>
      <c r="W18" s="155"/>
      <c r="X18" s="156">
        <v>0</v>
      </c>
      <c r="Y18" s="88"/>
      <c r="Z18" s="156">
        <v>0</v>
      </c>
      <c r="AA18" s="155"/>
      <c r="AB18" s="156">
        <v>0</v>
      </c>
      <c r="AC18" s="62"/>
      <c r="AD18" s="113">
        <f t="shared" si="1"/>
        <v>200000</v>
      </c>
      <c r="AE18" s="62"/>
      <c r="AF18" s="272">
        <v>1000000</v>
      </c>
      <c r="AG18" s="62"/>
      <c r="AH18" s="113">
        <v>200000000000</v>
      </c>
      <c r="AI18" s="62"/>
      <c r="AJ18" s="113">
        <v>199963750000</v>
      </c>
      <c r="AK18" s="62"/>
      <c r="AL18" s="89">
        <f t="shared" si="0"/>
        <v>1.6700536055325402E-2</v>
      </c>
      <c r="AN18" s="97"/>
      <c r="AO18" s="273"/>
    </row>
    <row r="19" spans="1:41" s="54" customFormat="1" ht="30" customHeight="1">
      <c r="A19" s="356" t="s">
        <v>146</v>
      </c>
      <c r="B19" s="356"/>
      <c r="D19" s="124" t="s">
        <v>37</v>
      </c>
      <c r="E19" s="62"/>
      <c r="F19" s="124" t="s">
        <v>37</v>
      </c>
      <c r="G19" s="62"/>
      <c r="H19" s="124" t="s">
        <v>147</v>
      </c>
      <c r="I19" s="62"/>
      <c r="J19" s="124" t="s">
        <v>148</v>
      </c>
      <c r="L19" s="125">
        <v>0</v>
      </c>
      <c r="M19" s="123"/>
      <c r="N19" s="125">
        <v>0</v>
      </c>
      <c r="P19" s="113">
        <v>600579</v>
      </c>
      <c r="Q19" s="62"/>
      <c r="R19" s="113">
        <v>327167071481</v>
      </c>
      <c r="S19" s="62"/>
      <c r="T19" s="113">
        <v>356901440117</v>
      </c>
      <c r="U19" s="62"/>
      <c r="V19" s="156">
        <v>57331</v>
      </c>
      <c r="W19" s="155"/>
      <c r="X19" s="156">
        <v>34632468582</v>
      </c>
      <c r="Y19" s="88"/>
      <c r="Z19" s="156">
        <v>0</v>
      </c>
      <c r="AA19" s="155"/>
      <c r="AB19" s="156">
        <v>0</v>
      </c>
      <c r="AC19" s="62"/>
      <c r="AD19" s="113">
        <f>P19+V19-Z19</f>
        <v>657910</v>
      </c>
      <c r="AE19" s="62"/>
      <c r="AF19" s="272">
        <v>613600</v>
      </c>
      <c r="AG19" s="62"/>
      <c r="AH19" s="113">
        <v>361799540063</v>
      </c>
      <c r="AI19" s="62"/>
      <c r="AJ19" s="113">
        <v>403620406539</v>
      </c>
      <c r="AK19" s="62"/>
      <c r="AL19" s="89">
        <f t="shared" si="0"/>
        <v>3.3709495606426991E-2</v>
      </c>
      <c r="AN19" s="97"/>
      <c r="AO19" s="273"/>
    </row>
    <row r="20" spans="1:41" s="54" customFormat="1" ht="30" customHeight="1">
      <c r="A20" s="356" t="s">
        <v>169</v>
      </c>
      <c r="B20" s="356"/>
      <c r="D20" s="124" t="s">
        <v>37</v>
      </c>
      <c r="E20" s="62"/>
      <c r="F20" s="124" t="s">
        <v>37</v>
      </c>
      <c r="G20" s="62"/>
      <c r="H20" s="124" t="s">
        <v>173</v>
      </c>
      <c r="I20" s="62"/>
      <c r="J20" s="124" t="s">
        <v>166</v>
      </c>
      <c r="L20" s="125">
        <v>0.23</v>
      </c>
      <c r="M20" s="123"/>
      <c r="N20" s="125">
        <v>0.23</v>
      </c>
      <c r="P20" s="113">
        <v>500000</v>
      </c>
      <c r="Q20" s="62"/>
      <c r="R20" s="113">
        <v>500000000000</v>
      </c>
      <c r="S20" s="62"/>
      <c r="T20" s="113">
        <v>499909375000</v>
      </c>
      <c r="U20" s="62"/>
      <c r="V20" s="156">
        <v>0</v>
      </c>
      <c r="W20" s="155"/>
      <c r="X20" s="156">
        <v>0</v>
      </c>
      <c r="Y20" s="88"/>
      <c r="Z20" s="156">
        <v>0</v>
      </c>
      <c r="AA20" s="155"/>
      <c r="AB20" s="156">
        <v>0</v>
      </c>
      <c r="AC20" s="62"/>
      <c r="AD20" s="113">
        <f t="shared" si="1"/>
        <v>500000</v>
      </c>
      <c r="AE20" s="62"/>
      <c r="AF20" s="272">
        <v>1000000</v>
      </c>
      <c r="AG20" s="117"/>
      <c r="AH20" s="113">
        <v>500000000000</v>
      </c>
      <c r="AI20" s="117"/>
      <c r="AJ20" s="116">
        <v>499909375000</v>
      </c>
      <c r="AK20" s="62"/>
      <c r="AL20" s="89">
        <f t="shared" si="0"/>
        <v>4.1751340138313504E-2</v>
      </c>
      <c r="AN20" s="97"/>
      <c r="AO20" s="273"/>
    </row>
    <row r="21" spans="1:41" s="54" customFormat="1" ht="30" customHeight="1">
      <c r="A21" s="362" t="s">
        <v>288</v>
      </c>
      <c r="B21" s="362"/>
      <c r="D21" s="124" t="s">
        <v>37</v>
      </c>
      <c r="E21" s="62"/>
      <c r="F21" s="124" t="s">
        <v>37</v>
      </c>
      <c r="G21" s="62"/>
      <c r="H21" s="124" t="s">
        <v>289</v>
      </c>
      <c r="I21" s="62"/>
      <c r="J21" s="124" t="s">
        <v>290</v>
      </c>
      <c r="L21" s="125">
        <v>0.23</v>
      </c>
      <c r="M21" s="123"/>
      <c r="N21" s="125">
        <v>0.23</v>
      </c>
      <c r="P21" s="113">
        <v>0</v>
      </c>
      <c r="Q21" s="62"/>
      <c r="R21" s="113">
        <v>0</v>
      </c>
      <c r="S21" s="62"/>
      <c r="T21" s="113">
        <v>0</v>
      </c>
      <c r="U21" s="62"/>
      <c r="V21" s="156">
        <v>600000</v>
      </c>
      <c r="W21" s="155"/>
      <c r="X21" s="156">
        <v>570020000000</v>
      </c>
      <c r="Y21" s="88"/>
      <c r="Z21" s="156">
        <v>0</v>
      </c>
      <c r="AA21" s="155"/>
      <c r="AB21" s="156">
        <v>0</v>
      </c>
      <c r="AC21" s="62"/>
      <c r="AD21" s="113">
        <f t="shared" si="1"/>
        <v>600000</v>
      </c>
      <c r="AE21" s="62"/>
      <c r="AF21" s="272">
        <v>865700</v>
      </c>
      <c r="AG21" s="117"/>
      <c r="AH21" s="113">
        <v>570020000000</v>
      </c>
      <c r="AI21" s="117"/>
      <c r="AJ21" s="116">
        <v>519325855125</v>
      </c>
      <c r="AK21" s="62"/>
      <c r="AL21" s="89">
        <f t="shared" si="0"/>
        <v>4.3372962189285602E-2</v>
      </c>
      <c r="AN21" s="97"/>
      <c r="AO21" s="273"/>
    </row>
    <row r="22" spans="1:41" ht="30" customHeight="1">
      <c r="A22" s="361" t="s">
        <v>167</v>
      </c>
      <c r="B22" s="361"/>
      <c r="D22" s="124" t="s">
        <v>172</v>
      </c>
      <c r="E22" s="62"/>
      <c r="F22" s="124" t="s">
        <v>172</v>
      </c>
      <c r="G22" s="62"/>
      <c r="H22" s="124" t="s">
        <v>179</v>
      </c>
      <c r="I22" s="62"/>
      <c r="J22" s="124" t="s">
        <v>168</v>
      </c>
      <c r="L22" s="124">
        <v>20.5</v>
      </c>
      <c r="M22" s="123"/>
      <c r="N22" s="124">
        <v>20.5</v>
      </c>
      <c r="P22" s="113">
        <v>500000</v>
      </c>
      <c r="Q22" s="62"/>
      <c r="R22" s="113">
        <v>500000000000</v>
      </c>
      <c r="S22" s="62"/>
      <c r="T22" s="113">
        <v>500000000000</v>
      </c>
      <c r="U22" s="62"/>
      <c r="V22" s="156">
        <v>0</v>
      </c>
      <c r="W22" s="155"/>
      <c r="X22" s="156">
        <v>0</v>
      </c>
      <c r="Y22" s="88"/>
      <c r="Z22" s="156">
        <v>0</v>
      </c>
      <c r="AA22" s="155"/>
      <c r="AB22" s="156">
        <v>0</v>
      </c>
      <c r="AC22" s="62"/>
      <c r="AD22" s="113">
        <f t="shared" si="1"/>
        <v>500000</v>
      </c>
      <c r="AE22" s="14"/>
      <c r="AF22" s="272">
        <v>1000000</v>
      </c>
      <c r="AG22" s="62"/>
      <c r="AH22" s="113">
        <v>500000000000</v>
      </c>
      <c r="AI22" s="62"/>
      <c r="AJ22" s="113">
        <v>500000000000</v>
      </c>
      <c r="AK22" s="14"/>
      <c r="AL22" s="89">
        <f t="shared" si="0"/>
        <v>4.1758908940558982E-2</v>
      </c>
      <c r="AN22" s="99"/>
    </row>
    <row r="23" spans="1:41" ht="30" customHeight="1">
      <c r="A23" s="346" t="s">
        <v>240</v>
      </c>
      <c r="B23" s="346"/>
      <c r="D23" s="124" t="s">
        <v>37</v>
      </c>
      <c r="E23" s="62"/>
      <c r="F23" s="124" t="s">
        <v>37</v>
      </c>
      <c r="G23" s="62"/>
      <c r="H23" s="124" t="s">
        <v>225</v>
      </c>
      <c r="I23" s="62"/>
      <c r="J23" s="124" t="s">
        <v>241</v>
      </c>
      <c r="L23" s="125">
        <v>0.23</v>
      </c>
      <c r="M23" s="123"/>
      <c r="N23" s="125">
        <v>0.23</v>
      </c>
      <c r="P23" s="113">
        <v>715971</v>
      </c>
      <c r="Q23" s="62"/>
      <c r="R23" s="113">
        <v>681266280802</v>
      </c>
      <c r="S23" s="62"/>
      <c r="T23" s="113">
        <v>647027412792</v>
      </c>
      <c r="U23" s="62"/>
      <c r="V23" s="156">
        <v>0</v>
      </c>
      <c r="W23" s="155"/>
      <c r="X23" s="156">
        <v>0</v>
      </c>
      <c r="Y23" s="88"/>
      <c r="Z23" s="156">
        <v>0</v>
      </c>
      <c r="AA23" s="155"/>
      <c r="AB23" s="156">
        <v>0</v>
      </c>
      <c r="AC23" s="62"/>
      <c r="AD23" s="113">
        <f t="shared" si="1"/>
        <v>715971</v>
      </c>
      <c r="AE23" s="14"/>
      <c r="AF23" s="272">
        <v>944548</v>
      </c>
      <c r="AG23" s="62"/>
      <c r="AH23" s="113">
        <v>681266280802</v>
      </c>
      <c r="AI23" s="62"/>
      <c r="AJ23" s="113">
        <v>676146402356</v>
      </c>
      <c r="AK23" s="14"/>
      <c r="AL23" s="89">
        <f t="shared" si="0"/>
        <v>5.6470272092941518E-2</v>
      </c>
      <c r="AN23" s="99"/>
    </row>
    <row r="24" spans="1:41" s="54" customFormat="1" ht="30" customHeight="1">
      <c r="A24" s="356" t="s">
        <v>171</v>
      </c>
      <c r="B24" s="356"/>
      <c r="D24" s="124" t="s">
        <v>37</v>
      </c>
      <c r="E24" s="62"/>
      <c r="F24" s="124" t="s">
        <v>37</v>
      </c>
      <c r="G24" s="62"/>
      <c r="H24" s="124" t="s">
        <v>126</v>
      </c>
      <c r="I24" s="62"/>
      <c r="J24" s="124" t="s">
        <v>174</v>
      </c>
      <c r="L24" s="125">
        <v>0</v>
      </c>
      <c r="M24" s="123"/>
      <c r="N24" s="125">
        <v>0</v>
      </c>
      <c r="P24" s="113">
        <v>107128</v>
      </c>
      <c r="Q24" s="62"/>
      <c r="R24" s="113">
        <v>76734715693</v>
      </c>
      <c r="S24" s="62"/>
      <c r="T24" s="113">
        <v>82983445804</v>
      </c>
      <c r="U24" s="62"/>
      <c r="V24" s="156">
        <v>0</v>
      </c>
      <c r="W24" s="155"/>
      <c r="X24" s="156">
        <v>0</v>
      </c>
      <c r="Y24" s="88"/>
      <c r="Z24" s="156">
        <v>518</v>
      </c>
      <c r="AA24" s="155"/>
      <c r="AB24" s="156">
        <v>405106346</v>
      </c>
      <c r="AC24" s="62"/>
      <c r="AD24" s="113">
        <f t="shared" si="1"/>
        <v>106610</v>
      </c>
      <c r="AE24" s="62"/>
      <c r="AF24" s="272">
        <v>795720</v>
      </c>
      <c r="AG24" s="62"/>
      <c r="AH24" s="113">
        <v>76363677470</v>
      </c>
      <c r="AI24" s="62"/>
      <c r="AJ24" s="113">
        <v>84816333453</v>
      </c>
      <c r="AK24" s="62"/>
      <c r="AL24" s="89">
        <f t="shared" si="0"/>
        <v>7.083675090671827E-3</v>
      </c>
      <c r="AN24" s="97"/>
      <c r="AO24" s="273"/>
    </row>
    <row r="25" spans="1:41" s="54" customFormat="1" ht="30" customHeight="1">
      <c r="A25" s="362" t="s">
        <v>107</v>
      </c>
      <c r="B25" s="362"/>
      <c r="D25" s="124" t="s">
        <v>37</v>
      </c>
      <c r="E25" s="62"/>
      <c r="F25" s="124" t="s">
        <v>37</v>
      </c>
      <c r="G25" s="62"/>
      <c r="H25" s="124" t="s">
        <v>236</v>
      </c>
      <c r="I25" s="62"/>
      <c r="J25" s="124" t="s">
        <v>237</v>
      </c>
      <c r="L25" s="125">
        <v>0</v>
      </c>
      <c r="M25" s="123"/>
      <c r="N25" s="125">
        <v>0</v>
      </c>
      <c r="P25" s="113">
        <v>8133</v>
      </c>
      <c r="Q25" s="62"/>
      <c r="R25" s="113">
        <v>6357091514</v>
      </c>
      <c r="S25" s="62"/>
      <c r="T25" s="113">
        <v>6745100729</v>
      </c>
      <c r="U25" s="62"/>
      <c r="V25" s="156">
        <v>0</v>
      </c>
      <c r="W25" s="155"/>
      <c r="X25" s="156">
        <v>0</v>
      </c>
      <c r="Y25" s="88"/>
      <c r="Z25" s="156">
        <v>8133</v>
      </c>
      <c r="AA25" s="155"/>
      <c r="AB25" s="156">
        <v>6806124692</v>
      </c>
      <c r="AC25" s="62"/>
      <c r="AD25" s="113">
        <f t="shared" si="1"/>
        <v>0</v>
      </c>
      <c r="AE25" s="62"/>
      <c r="AF25" s="272">
        <v>0</v>
      </c>
      <c r="AG25" s="62"/>
      <c r="AH25" s="113">
        <v>0</v>
      </c>
      <c r="AI25" s="62"/>
      <c r="AJ25" s="113">
        <f t="shared" ref="AJ25" si="2">AF25*AD25*(1-0.00018125)</f>
        <v>0</v>
      </c>
      <c r="AK25" s="62"/>
      <c r="AL25" s="89">
        <f t="shared" si="0"/>
        <v>0</v>
      </c>
      <c r="AN25" s="97"/>
      <c r="AO25" s="273"/>
    </row>
    <row r="26" spans="1:41" s="22" customFormat="1" ht="30" customHeight="1" thickBot="1">
      <c r="A26" s="343" t="s">
        <v>12</v>
      </c>
      <c r="B26" s="343"/>
      <c r="D26" s="93"/>
      <c r="E26" s="59"/>
      <c r="F26" s="93"/>
      <c r="G26" s="59"/>
      <c r="H26" s="93"/>
      <c r="I26" s="59"/>
      <c r="J26" s="93"/>
      <c r="K26" s="59"/>
      <c r="L26" s="93"/>
      <c r="M26" s="59"/>
      <c r="N26" s="93"/>
      <c r="O26" s="59"/>
      <c r="P26" s="114">
        <f>SUM(P8:P25)</f>
        <v>5799631</v>
      </c>
      <c r="Q26" s="82"/>
      <c r="R26" s="114">
        <f>SUM(R8:R25)</f>
        <v>4597286172997</v>
      </c>
      <c r="S26" s="82"/>
      <c r="T26" s="114">
        <f>SUM(T8:T25)</f>
        <v>4745475857436.3213</v>
      </c>
      <c r="U26" s="82"/>
      <c r="V26" s="114">
        <f>SUM(V8:V25)</f>
        <v>896773</v>
      </c>
      <c r="W26" s="82"/>
      <c r="X26" s="114">
        <f>SUM(X8:X25)</f>
        <v>756788543633</v>
      </c>
      <c r="Y26" s="82"/>
      <c r="Z26" s="114">
        <f>SUM(Z8:Z25)</f>
        <v>44726</v>
      </c>
      <c r="AA26" s="82"/>
      <c r="AB26" s="114">
        <f>SUM(AB8:AB25)</f>
        <v>33757886698</v>
      </c>
      <c r="AC26" s="82"/>
      <c r="AD26" s="114">
        <f>SUM(AD8:AD25)</f>
        <v>6651678</v>
      </c>
      <c r="AE26" s="20"/>
      <c r="AF26" s="167"/>
      <c r="AG26" s="82"/>
      <c r="AH26" s="114">
        <f>SUM(AH8:AH25)</f>
        <v>5322996355275</v>
      </c>
      <c r="AI26" s="82"/>
      <c r="AJ26" s="114">
        <f>SUM(AJ8:AJ25)</f>
        <v>5454229541161</v>
      </c>
      <c r="AK26" s="20"/>
      <c r="AL26" s="165">
        <f>SUM(AL8:AL25)</f>
        <v>0.455525349500498</v>
      </c>
      <c r="AO26" s="46"/>
    </row>
  </sheetData>
  <mergeCells count="39">
    <mergeCell ref="A26:B26"/>
    <mergeCell ref="A16:B16"/>
    <mergeCell ref="A17:B17"/>
    <mergeCell ref="A18:B18"/>
    <mergeCell ref="A19:B19"/>
    <mergeCell ref="A20:B20"/>
    <mergeCell ref="A22:B22"/>
    <mergeCell ref="A24:B24"/>
    <mergeCell ref="A23:B23"/>
    <mergeCell ref="A25:B25"/>
    <mergeCell ref="A21:B21"/>
    <mergeCell ref="A10:B10"/>
    <mergeCell ref="A12:B12"/>
    <mergeCell ref="A14:B14"/>
    <mergeCell ref="A15:B15"/>
    <mergeCell ref="A11:B11"/>
    <mergeCell ref="A13:B13"/>
    <mergeCell ref="V6:X6"/>
    <mergeCell ref="Z6:AB6"/>
    <mergeCell ref="A7:B7"/>
    <mergeCell ref="A8:B8"/>
    <mergeCell ref="A9:B9"/>
    <mergeCell ref="L6:L7"/>
    <mergeCell ref="D6:D7"/>
    <mergeCell ref="F6:F7"/>
    <mergeCell ref="H6:H7"/>
    <mergeCell ref="J6:J7"/>
    <mergeCell ref="N6:N7"/>
    <mergeCell ref="P6:P7"/>
    <mergeCell ref="R6:R7"/>
    <mergeCell ref="T6:T7"/>
    <mergeCell ref="A1:AL1"/>
    <mergeCell ref="A2:AL2"/>
    <mergeCell ref="A3:AL3"/>
    <mergeCell ref="A5:O5"/>
    <mergeCell ref="P5:T5"/>
    <mergeCell ref="V5:AB5"/>
    <mergeCell ref="AD5:AL5"/>
    <mergeCell ref="A4:AL4"/>
  </mergeCells>
  <pageMargins left="0.39" right="0.39" top="0.39" bottom="0.39" header="0" footer="0"/>
  <pageSetup scale="3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249977111117893"/>
    <pageSetUpPr fitToPage="1"/>
  </sheetPr>
  <dimension ref="A1:Q12"/>
  <sheetViews>
    <sheetView rightToLeft="1" view="pageBreakPreview" zoomScaleNormal="100" zoomScaleSheetLayoutView="100" workbookViewId="0">
      <selection activeCell="S1" sqref="S1"/>
    </sheetView>
  </sheetViews>
  <sheetFormatPr defaultRowHeight="30" customHeight="1"/>
  <cols>
    <col min="1" max="1" width="9" style="49" bestFit="1" customWidth="1"/>
    <col min="2" max="2" width="5.140625" style="49" customWidth="1"/>
    <col min="3" max="3" width="1.28515625" style="49" customWidth="1"/>
    <col min="4" max="4" width="19.7109375" style="49" customWidth="1"/>
    <col min="5" max="5" width="1.28515625" style="49" customWidth="1"/>
    <col min="6" max="6" width="29.140625" style="49" bestFit="1" customWidth="1"/>
    <col min="7" max="7" width="1.28515625" style="49" customWidth="1"/>
    <col min="8" max="8" width="13.7109375" style="49" bestFit="1" customWidth="1"/>
    <col min="9" max="9" width="1.28515625" style="49" customWidth="1"/>
    <col min="10" max="10" width="10.42578125" style="49" customWidth="1"/>
    <col min="11" max="11" width="9.140625" style="49" customWidth="1"/>
    <col min="12" max="12" width="1.28515625" style="49" customWidth="1"/>
    <col min="13" max="13" width="29.5703125" style="49" customWidth="1"/>
    <col min="14" max="14" width="1.28515625" style="49" customWidth="1"/>
    <col min="15" max="15" width="14.28515625" style="49" customWidth="1"/>
    <col min="16" max="16" width="1.28515625" style="49" customWidth="1"/>
    <col min="17" max="17" width="23.7109375" style="49" customWidth="1"/>
    <col min="18" max="18" width="0.28515625" style="49" customWidth="1"/>
    <col min="19" max="16384" width="9.140625" style="49"/>
  </cols>
  <sheetData>
    <row r="1" spans="1:17" ht="30" customHeight="1">
      <c r="A1" s="343" t="s">
        <v>0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</row>
    <row r="2" spans="1:17" ht="30" customHeight="1">
      <c r="A2" s="343" t="s">
        <v>88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</row>
    <row r="3" spans="1:17" ht="30" customHeight="1">
      <c r="A3" s="343" t="s">
        <v>283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</row>
    <row r="4" spans="1:17" s="50" customFormat="1" ht="30" customHeight="1">
      <c r="A4" s="342" t="s">
        <v>163</v>
      </c>
      <c r="B4" s="342"/>
      <c r="C4" s="342"/>
      <c r="D4" s="342"/>
      <c r="E4" s="342"/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</row>
    <row r="5" spans="1:17" ht="30" customHeight="1">
      <c r="A5" s="343" t="s">
        <v>110</v>
      </c>
      <c r="B5" s="343"/>
      <c r="D5" s="343" t="s">
        <v>111</v>
      </c>
      <c r="F5" s="343" t="s">
        <v>112</v>
      </c>
      <c r="H5" s="343" t="s">
        <v>22</v>
      </c>
      <c r="J5" s="343" t="s">
        <v>113</v>
      </c>
      <c r="K5" s="343"/>
      <c r="M5" s="363" t="s">
        <v>108</v>
      </c>
      <c r="O5" s="343" t="s">
        <v>114</v>
      </c>
      <c r="Q5" s="363" t="s">
        <v>109</v>
      </c>
    </row>
    <row r="6" spans="1:17" ht="19.5" customHeight="1">
      <c r="A6" s="364"/>
      <c r="B6" s="364"/>
      <c r="D6" s="364"/>
      <c r="F6" s="364"/>
      <c r="H6" s="365"/>
      <c r="J6" s="364"/>
      <c r="K6" s="364"/>
      <c r="M6" s="363"/>
      <c r="O6" s="364"/>
      <c r="Q6" s="363"/>
    </row>
    <row r="7" spans="1:17" s="41" customFormat="1" ht="30" customHeight="1">
      <c r="A7" s="367" t="s">
        <v>115</v>
      </c>
      <c r="B7" s="367"/>
      <c r="D7" s="367" t="s">
        <v>115</v>
      </c>
      <c r="F7" s="51" t="s">
        <v>141</v>
      </c>
      <c r="H7" s="104">
        <v>450000</v>
      </c>
      <c r="I7" s="105"/>
      <c r="J7" s="369">
        <v>450000000000</v>
      </c>
      <c r="K7" s="369"/>
      <c r="L7" s="105"/>
      <c r="M7" s="281">
        <v>2254931506</v>
      </c>
      <c r="N7" s="105"/>
      <c r="O7" s="106">
        <v>1000000</v>
      </c>
      <c r="Q7" s="109">
        <v>0.32</v>
      </c>
    </row>
    <row r="8" spans="1:17" s="41" customFormat="1" ht="30" customHeight="1">
      <c r="A8" s="368"/>
      <c r="B8" s="368"/>
      <c r="D8" s="368"/>
      <c r="F8" s="41" t="s">
        <v>142</v>
      </c>
      <c r="H8" s="106">
        <v>200000</v>
      </c>
      <c r="I8" s="105"/>
      <c r="J8" s="366">
        <v>200000000000</v>
      </c>
      <c r="K8" s="366"/>
      <c r="L8" s="105"/>
      <c r="M8" s="282">
        <v>1707123283</v>
      </c>
      <c r="N8" s="105"/>
      <c r="O8" s="106">
        <v>1000000</v>
      </c>
      <c r="Q8" s="233">
        <v>0.33</v>
      </c>
    </row>
    <row r="9" spans="1:17" s="41" customFormat="1" ht="30" customHeight="1">
      <c r="A9" s="368"/>
      <c r="B9" s="368"/>
      <c r="D9" s="368"/>
      <c r="F9" s="41" t="s">
        <v>47</v>
      </c>
      <c r="H9" s="106">
        <v>500000</v>
      </c>
      <c r="I9" s="105"/>
      <c r="J9" s="366">
        <v>500000000000</v>
      </c>
      <c r="K9" s="366"/>
      <c r="L9" s="105"/>
      <c r="M9" s="282">
        <v>5105259552</v>
      </c>
      <c r="N9" s="105"/>
      <c r="O9" s="106">
        <v>1000000</v>
      </c>
      <c r="Q9" s="109">
        <v>0.38</v>
      </c>
    </row>
    <row r="10" spans="1:17" ht="30" customHeight="1">
      <c r="A10" s="368"/>
      <c r="B10" s="368"/>
      <c r="D10" s="368"/>
      <c r="F10" s="41" t="s">
        <v>167</v>
      </c>
      <c r="H10" s="106">
        <v>500000</v>
      </c>
      <c r="I10" s="107"/>
      <c r="J10" s="366">
        <v>500000000000</v>
      </c>
      <c r="K10" s="366"/>
      <c r="L10" s="107"/>
      <c r="M10" s="282">
        <v>3390625000</v>
      </c>
      <c r="N10" s="107"/>
      <c r="O10" s="106">
        <v>1000000</v>
      </c>
      <c r="Q10" s="110">
        <v>0.379</v>
      </c>
    </row>
    <row r="11" spans="1:17" ht="30" customHeight="1">
      <c r="A11" s="368"/>
      <c r="B11" s="368"/>
      <c r="D11" s="368"/>
      <c r="F11" s="41" t="s">
        <v>175</v>
      </c>
      <c r="H11" s="106">
        <v>500000</v>
      </c>
      <c r="I11" s="108"/>
      <c r="J11" s="366">
        <v>500000000000</v>
      </c>
      <c r="K11" s="366"/>
      <c r="L11" s="108"/>
      <c r="M11" s="282">
        <v>5223287681</v>
      </c>
      <c r="N11" s="108"/>
      <c r="O11" s="106">
        <v>1000000</v>
      </c>
      <c r="Q11" s="111">
        <v>0.40899999999999997</v>
      </c>
    </row>
    <row r="12" spans="1:17" ht="30" customHeight="1">
      <c r="A12" s="368"/>
      <c r="B12" s="368"/>
      <c r="D12" s="368"/>
      <c r="F12" s="41" t="s">
        <v>278</v>
      </c>
      <c r="H12" s="106">
        <v>715971</v>
      </c>
      <c r="I12" s="108"/>
      <c r="J12" s="366">
        <f>H12*O12</f>
        <v>715971000000</v>
      </c>
      <c r="K12" s="366"/>
      <c r="L12" s="108"/>
      <c r="M12" s="282">
        <v>2467956810</v>
      </c>
      <c r="N12" s="108"/>
      <c r="O12" s="106">
        <v>1000000</v>
      </c>
      <c r="Q12" s="109">
        <v>0.38</v>
      </c>
    </row>
  </sheetData>
  <mergeCells count="20">
    <mergeCell ref="J12:K12"/>
    <mergeCell ref="A7:B12"/>
    <mergeCell ref="D7:D12"/>
    <mergeCell ref="J10:K10"/>
    <mergeCell ref="J7:K7"/>
    <mergeCell ref="J8:K8"/>
    <mergeCell ref="J9:K9"/>
    <mergeCell ref="J11:K11"/>
    <mergeCell ref="A1:Q1"/>
    <mergeCell ref="A2:Q2"/>
    <mergeCell ref="A3:Q3"/>
    <mergeCell ref="M5:M6"/>
    <mergeCell ref="Q5:Q6"/>
    <mergeCell ref="A4:Q4"/>
    <mergeCell ref="O5:O6"/>
    <mergeCell ref="A5:B6"/>
    <mergeCell ref="D5:D6"/>
    <mergeCell ref="F5:F6"/>
    <mergeCell ref="H5:H6"/>
    <mergeCell ref="J5:K6"/>
  </mergeCells>
  <pageMargins left="0.39" right="0.39" top="0.39" bottom="0.39" header="0" footer="0"/>
  <pageSetup scale="7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-0.249977111117893"/>
  </sheetPr>
  <dimension ref="A1:N17"/>
  <sheetViews>
    <sheetView rightToLeft="1" view="pageBreakPreview" zoomScale="120" zoomScaleNormal="100" zoomScaleSheetLayoutView="120" workbookViewId="0">
      <selection activeCell="N1" sqref="N1"/>
    </sheetView>
  </sheetViews>
  <sheetFormatPr defaultRowHeight="30" customHeight="1"/>
  <cols>
    <col min="1" max="1" width="29.85546875" style="12" customWidth="1"/>
    <col min="2" max="2" width="0.5703125" style="12" customWidth="1"/>
    <col min="3" max="3" width="12.42578125" style="12" customWidth="1"/>
    <col min="4" max="4" width="0.5703125" style="12" customWidth="1"/>
    <col min="5" max="5" width="15.5703125" style="12" customWidth="1"/>
    <col min="6" max="6" width="0.42578125" style="12" customWidth="1"/>
    <col min="7" max="7" width="13" style="12" customWidth="1"/>
    <col min="8" max="8" width="0.42578125" style="12" customWidth="1"/>
    <col min="9" max="9" width="13" style="12" customWidth="1"/>
    <col min="10" max="10" width="0.5703125" style="12" customWidth="1"/>
    <col min="11" max="11" width="21" style="12" customWidth="1"/>
    <col min="12" max="12" width="0.42578125" style="12" customWidth="1"/>
    <col min="13" max="13" width="14.85546875" style="12" bestFit="1" customWidth="1"/>
    <col min="14" max="14" width="19.5703125" style="12" customWidth="1"/>
    <col min="15" max="16384" width="9.140625" style="12"/>
  </cols>
  <sheetData>
    <row r="1" spans="1:14" ht="30" customHeight="1">
      <c r="A1" s="343" t="s">
        <v>0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</row>
    <row r="2" spans="1:14" ht="30" customHeight="1">
      <c r="A2" s="343" t="s">
        <v>1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</row>
    <row r="3" spans="1:14" ht="30" customHeight="1">
      <c r="A3" s="343" t="s">
        <v>283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</row>
    <row r="4" spans="1:14" s="13" customFormat="1" ht="30" customHeight="1">
      <c r="A4" s="342" t="s">
        <v>66</v>
      </c>
      <c r="B4" s="342"/>
      <c r="C4" s="342"/>
      <c r="D4" s="342"/>
      <c r="E4" s="342"/>
      <c r="F4" s="342"/>
      <c r="G4" s="342"/>
      <c r="H4" s="342"/>
      <c r="I4" s="342"/>
      <c r="J4" s="342"/>
      <c r="K4" s="342"/>
      <c r="L4" s="342"/>
      <c r="M4" s="342"/>
    </row>
    <row r="5" spans="1:14" s="13" customFormat="1" ht="30" customHeight="1">
      <c r="A5" s="342" t="s">
        <v>67</v>
      </c>
      <c r="B5" s="342"/>
      <c r="C5" s="342"/>
      <c r="D5" s="342"/>
      <c r="E5" s="342"/>
      <c r="F5" s="342"/>
      <c r="G5" s="342"/>
      <c r="H5" s="342"/>
      <c r="I5" s="342"/>
      <c r="J5" s="342"/>
      <c r="K5" s="342"/>
      <c r="L5" s="342"/>
      <c r="M5" s="342"/>
    </row>
    <row r="6" spans="1:14" ht="9" customHeight="1"/>
    <row r="7" spans="1:14" ht="30" customHeight="1">
      <c r="C7" s="365" t="s">
        <v>284</v>
      </c>
      <c r="D7" s="365"/>
      <c r="E7" s="365"/>
      <c r="F7" s="365"/>
      <c r="G7" s="365"/>
      <c r="H7" s="365"/>
      <c r="I7" s="365"/>
      <c r="J7" s="365"/>
      <c r="K7" s="365"/>
      <c r="L7" s="365"/>
      <c r="M7" s="365"/>
    </row>
    <row r="8" spans="1:14" ht="42">
      <c r="A8" s="1" t="s">
        <v>68</v>
      </c>
      <c r="C8" s="17" t="s">
        <v>6</v>
      </c>
      <c r="E8" s="17" t="s">
        <v>69</v>
      </c>
      <c r="G8" s="28" t="s">
        <v>70</v>
      </c>
      <c r="I8" s="17" t="s">
        <v>71</v>
      </c>
      <c r="K8" s="28" t="s">
        <v>72</v>
      </c>
      <c r="M8" s="9" t="s">
        <v>139</v>
      </c>
    </row>
    <row r="9" spans="1:14" ht="30" customHeight="1">
      <c r="A9" s="175" t="s">
        <v>61</v>
      </c>
      <c r="B9" s="176"/>
      <c r="C9" s="177">
        <v>200000</v>
      </c>
      <c r="D9" s="23"/>
      <c r="E9" s="177">
        <v>1080000</v>
      </c>
      <c r="F9" s="23"/>
      <c r="G9" s="177">
        <v>1000000</v>
      </c>
      <c r="H9" s="23"/>
      <c r="I9" s="271">
        <f>(G9-E9)/G9</f>
        <v>-0.08</v>
      </c>
      <c r="J9" s="23"/>
      <c r="K9" s="24">
        <v>199963750000</v>
      </c>
      <c r="L9" s="176"/>
      <c r="M9" s="10" t="s">
        <v>140</v>
      </c>
      <c r="N9" s="36"/>
    </row>
    <row r="10" spans="1:14" ht="30" customHeight="1">
      <c r="A10" s="332" t="s">
        <v>36</v>
      </c>
      <c r="B10" s="176"/>
      <c r="C10" s="24">
        <v>579519</v>
      </c>
      <c r="D10" s="23"/>
      <c r="E10" s="24">
        <v>662950</v>
      </c>
      <c r="F10" s="23"/>
      <c r="G10" s="24">
        <v>669800</v>
      </c>
      <c r="H10" s="23"/>
      <c r="I10" s="334">
        <f t="shared" ref="I10:I14" si="0">(G10-E10)/G10</f>
        <v>1.0226933412959093E-2</v>
      </c>
      <c r="J10" s="23"/>
      <c r="K10" s="24">
        <v>416042517223</v>
      </c>
      <c r="L10" s="176"/>
      <c r="M10" s="10" t="s">
        <v>140</v>
      </c>
      <c r="N10" s="36"/>
    </row>
    <row r="11" spans="1:14" ht="30" customHeight="1">
      <c r="A11" s="332" t="s">
        <v>40</v>
      </c>
      <c r="B11" s="176"/>
      <c r="C11" s="24">
        <v>652329</v>
      </c>
      <c r="D11" s="23"/>
      <c r="E11" s="24">
        <v>615600</v>
      </c>
      <c r="F11" s="23"/>
      <c r="G11" s="24">
        <v>623800</v>
      </c>
      <c r="H11" s="23"/>
      <c r="I11" s="334">
        <f t="shared" si="0"/>
        <v>1.3145238858608528E-2</v>
      </c>
      <c r="J11" s="23"/>
      <c r="K11" s="24">
        <v>411734415208</v>
      </c>
      <c r="L11" s="176"/>
      <c r="M11" s="10" t="s">
        <v>140</v>
      </c>
      <c r="N11" s="36"/>
    </row>
    <row r="12" spans="1:14" ht="30" customHeight="1">
      <c r="A12" s="332" t="s">
        <v>146</v>
      </c>
      <c r="B12" s="176"/>
      <c r="C12" s="24">
        <v>643967</v>
      </c>
      <c r="D12" s="23"/>
      <c r="E12" s="24">
        <v>607000</v>
      </c>
      <c r="F12" s="23"/>
      <c r="G12" s="24">
        <v>613600</v>
      </c>
      <c r="H12" s="23"/>
      <c r="I12" s="334">
        <f t="shared" si="0"/>
        <v>1.0756192959582789E-2</v>
      </c>
      <c r="J12" s="23"/>
      <c r="K12" s="24">
        <v>403620406539</v>
      </c>
      <c r="L12" s="176"/>
      <c r="M12" s="10" t="s">
        <v>140</v>
      </c>
      <c r="N12" s="36"/>
    </row>
    <row r="13" spans="1:14" ht="30" customHeight="1">
      <c r="A13" s="332" t="s">
        <v>47</v>
      </c>
      <c r="B13" s="176"/>
      <c r="C13" s="24">
        <v>500000</v>
      </c>
      <c r="D13" s="23"/>
      <c r="E13" s="24">
        <v>1098000</v>
      </c>
      <c r="F13" s="23"/>
      <c r="G13" s="24">
        <v>1000000</v>
      </c>
      <c r="H13" s="23"/>
      <c r="I13" s="333">
        <f>(G13-E13)/G13</f>
        <v>-9.8000000000000004E-2</v>
      </c>
      <c r="J13" s="23"/>
      <c r="K13" s="24">
        <v>499909375000</v>
      </c>
      <c r="L13" s="176"/>
      <c r="M13" s="10" t="s">
        <v>140</v>
      </c>
      <c r="N13" s="36"/>
    </row>
    <row r="14" spans="1:14" ht="30" customHeight="1">
      <c r="A14" s="332" t="s">
        <v>288</v>
      </c>
      <c r="B14" s="176"/>
      <c r="C14" s="24">
        <v>600000</v>
      </c>
      <c r="D14" s="23"/>
      <c r="E14" s="24">
        <v>778990</v>
      </c>
      <c r="F14" s="23"/>
      <c r="G14" s="24">
        <v>856889</v>
      </c>
      <c r="H14" s="23"/>
      <c r="I14" s="334">
        <f t="shared" si="0"/>
        <v>9.0909090909090912E-2</v>
      </c>
      <c r="J14" s="23"/>
      <c r="K14" s="24">
        <v>519325855125</v>
      </c>
      <c r="L14" s="176"/>
      <c r="M14" s="10" t="s">
        <v>140</v>
      </c>
      <c r="N14" s="36"/>
    </row>
    <row r="15" spans="1:14" ht="30" customHeight="1">
      <c r="A15" s="332" t="s">
        <v>240</v>
      </c>
      <c r="B15" s="176"/>
      <c r="C15" s="335">
        <v>715971</v>
      </c>
      <c r="D15" s="23"/>
      <c r="E15" s="24">
        <v>858680</v>
      </c>
      <c r="F15" s="23"/>
      <c r="G15" s="24">
        <v>944548</v>
      </c>
      <c r="H15" s="23"/>
      <c r="I15" s="334">
        <f>(G15-E15)/G15</f>
        <v>9.0909090909090912E-2</v>
      </c>
      <c r="J15" s="23"/>
      <c r="K15" s="335">
        <v>676146402356</v>
      </c>
      <c r="L15" s="176"/>
      <c r="M15" s="10" t="s">
        <v>140</v>
      </c>
      <c r="N15" s="36"/>
    </row>
    <row r="16" spans="1:14" ht="30" customHeight="1" thickBot="1">
      <c r="A16" s="11" t="s">
        <v>12</v>
      </c>
      <c r="B16" s="176"/>
      <c r="C16" s="336">
        <f>SUM(C9:C15)</f>
        <v>3891786</v>
      </c>
      <c r="D16" s="23"/>
      <c r="E16" s="24"/>
      <c r="F16" s="23"/>
      <c r="G16" s="24"/>
      <c r="H16" s="23"/>
      <c r="I16" s="334"/>
      <c r="J16" s="23"/>
      <c r="K16" s="336">
        <f>SUM(K9:K15)</f>
        <v>3126742721451</v>
      </c>
      <c r="L16" s="176"/>
      <c r="M16" s="10"/>
      <c r="N16" s="36"/>
    </row>
    <row r="17" spans="1:14" ht="30" customHeight="1" thickTop="1">
      <c r="A17" s="1"/>
      <c r="B17" s="176"/>
      <c r="C17" s="24"/>
      <c r="D17" s="23"/>
      <c r="E17" s="24"/>
      <c r="F17" s="23"/>
      <c r="G17" s="24"/>
      <c r="H17" s="23"/>
      <c r="I17" s="334"/>
      <c r="J17" s="23"/>
      <c r="K17" s="24"/>
      <c r="L17" s="176"/>
      <c r="M17" s="10"/>
      <c r="N17" s="36"/>
    </row>
  </sheetData>
  <mergeCells count="6">
    <mergeCell ref="A1:M1"/>
    <mergeCell ref="C7:M7"/>
    <mergeCell ref="A5:M5"/>
    <mergeCell ref="A4:M4"/>
    <mergeCell ref="A2:M2"/>
    <mergeCell ref="A3:M3"/>
  </mergeCells>
  <pageMargins left="0.39" right="0.39" top="0.39" bottom="0.39" header="0" footer="0"/>
  <pageSetup scale="81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-0.249977111117893"/>
    <pageSetUpPr fitToPage="1"/>
  </sheetPr>
  <dimension ref="A1:AV11"/>
  <sheetViews>
    <sheetView rightToLeft="1" view="pageBreakPreview" zoomScaleNormal="100" zoomScaleSheetLayoutView="100" workbookViewId="0">
      <selection activeCell="AV1" sqref="AV1"/>
    </sheetView>
  </sheetViews>
  <sheetFormatPr defaultRowHeight="30" customHeight="1"/>
  <cols>
    <col min="1" max="1" width="32.42578125" style="12" customWidth="1"/>
    <col min="2" max="2" width="13" style="12" customWidth="1"/>
    <col min="3" max="3" width="1.28515625" style="12" customWidth="1"/>
    <col min="4" max="4" width="13" style="12" customWidth="1"/>
    <col min="5" max="5" width="1.28515625" style="12" customWidth="1"/>
    <col min="6" max="6" width="6.42578125" style="12" customWidth="1"/>
    <col min="7" max="7" width="1.28515625" style="12" customWidth="1"/>
    <col min="8" max="8" width="5.140625" style="12" customWidth="1"/>
    <col min="9" max="9" width="1.28515625" style="12" customWidth="1"/>
    <col min="10" max="10" width="9.140625" style="12" customWidth="1"/>
    <col min="11" max="11" width="1.28515625" style="12" customWidth="1"/>
    <col min="12" max="12" width="2.5703125" style="12" customWidth="1"/>
    <col min="13" max="13" width="1.28515625" style="12" customWidth="1"/>
    <col min="14" max="14" width="9.140625" style="12" customWidth="1"/>
    <col min="15" max="15" width="1.28515625" style="12" customWidth="1"/>
    <col min="16" max="16" width="2.5703125" style="12" customWidth="1"/>
    <col min="17" max="19" width="1.28515625" style="12" customWidth="1"/>
    <col min="20" max="20" width="6.42578125" style="12" customWidth="1"/>
    <col min="21" max="21" width="1.28515625" style="12" customWidth="1"/>
    <col min="22" max="22" width="2.5703125" style="12" customWidth="1"/>
    <col min="23" max="25" width="1.28515625" style="12" customWidth="1"/>
    <col min="26" max="26" width="6.42578125" style="12" customWidth="1"/>
    <col min="27" max="27" width="1.28515625" style="12" customWidth="1"/>
    <col min="28" max="28" width="2.5703125" style="12" customWidth="1"/>
    <col min="29" max="31" width="1.28515625" style="12" customWidth="1"/>
    <col min="32" max="32" width="9.140625" style="12" customWidth="1"/>
    <col min="33" max="33" width="1.28515625" style="12" customWidth="1"/>
    <col min="34" max="34" width="2.5703125" style="12" customWidth="1"/>
    <col min="35" max="35" width="1.28515625" style="12" customWidth="1"/>
    <col min="36" max="36" width="9.140625" style="12" customWidth="1"/>
    <col min="37" max="37" width="1.28515625" style="12" customWidth="1"/>
    <col min="38" max="38" width="2.5703125" style="12" customWidth="1"/>
    <col min="39" max="39" width="1.28515625" style="12" customWidth="1"/>
    <col min="40" max="40" width="9.140625" style="12" customWidth="1"/>
    <col min="41" max="41" width="1.28515625" style="12" customWidth="1"/>
    <col min="42" max="42" width="2.5703125" style="12" customWidth="1"/>
    <col min="43" max="43" width="1.28515625" style="12" customWidth="1"/>
    <col min="44" max="44" width="11.7109375" style="12" customWidth="1"/>
    <col min="45" max="46" width="1.28515625" style="12" customWidth="1"/>
    <col min="47" max="47" width="13" style="12" customWidth="1"/>
    <col min="48" max="48" width="7.7109375" style="12" customWidth="1"/>
    <col min="49" max="49" width="0.28515625" style="12" customWidth="1"/>
    <col min="50" max="16384" width="9.140625" style="12"/>
  </cols>
  <sheetData>
    <row r="1" spans="1:48" ht="30" customHeight="1">
      <c r="A1" s="343" t="s">
        <v>0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3"/>
      <c r="V1" s="343"/>
      <c r="W1" s="343"/>
      <c r="X1" s="343"/>
      <c r="Y1" s="343"/>
      <c r="Z1" s="343"/>
      <c r="AA1" s="343"/>
      <c r="AB1" s="343"/>
      <c r="AC1" s="343"/>
      <c r="AD1" s="343"/>
      <c r="AE1" s="343"/>
      <c r="AF1" s="343"/>
      <c r="AG1" s="343"/>
      <c r="AH1" s="343"/>
      <c r="AI1" s="343"/>
      <c r="AJ1" s="343"/>
      <c r="AK1" s="343"/>
      <c r="AL1" s="343"/>
      <c r="AM1" s="343"/>
      <c r="AN1" s="343"/>
      <c r="AO1" s="343"/>
      <c r="AP1" s="343"/>
      <c r="AQ1" s="343"/>
      <c r="AR1" s="343"/>
      <c r="AS1" s="343"/>
      <c r="AT1" s="343"/>
      <c r="AU1" s="343"/>
      <c r="AV1" s="18"/>
    </row>
    <row r="2" spans="1:48" ht="30" customHeight="1">
      <c r="A2" s="343" t="s">
        <v>1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343"/>
      <c r="X2" s="343"/>
      <c r="Y2" s="343"/>
      <c r="Z2" s="343"/>
      <c r="AA2" s="343"/>
      <c r="AB2" s="343"/>
      <c r="AC2" s="343"/>
      <c r="AD2" s="343"/>
      <c r="AE2" s="343"/>
      <c r="AF2" s="343"/>
      <c r="AG2" s="343"/>
      <c r="AH2" s="343"/>
      <c r="AI2" s="343"/>
      <c r="AJ2" s="343"/>
      <c r="AK2" s="343"/>
      <c r="AL2" s="343"/>
      <c r="AM2" s="343"/>
      <c r="AN2" s="343"/>
      <c r="AO2" s="343"/>
      <c r="AP2" s="343"/>
      <c r="AQ2" s="343"/>
      <c r="AR2" s="343"/>
      <c r="AS2" s="343"/>
      <c r="AT2" s="343"/>
      <c r="AU2" s="343"/>
      <c r="AV2" s="18"/>
    </row>
    <row r="3" spans="1:48" ht="30" customHeight="1">
      <c r="A3" s="343" t="s">
        <v>283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343"/>
      <c r="S3" s="343"/>
      <c r="T3" s="343"/>
      <c r="U3" s="343"/>
      <c r="V3" s="343"/>
      <c r="W3" s="343"/>
      <c r="X3" s="343"/>
      <c r="Y3" s="343"/>
      <c r="Z3" s="343"/>
      <c r="AA3" s="343"/>
      <c r="AB3" s="343"/>
      <c r="AC3" s="343"/>
      <c r="AD3" s="343"/>
      <c r="AE3" s="343"/>
      <c r="AF3" s="343"/>
      <c r="AG3" s="343"/>
      <c r="AH3" s="343"/>
      <c r="AI3" s="343"/>
      <c r="AJ3" s="343"/>
      <c r="AK3" s="343"/>
      <c r="AL3" s="343"/>
      <c r="AM3" s="343"/>
      <c r="AN3" s="343"/>
      <c r="AO3" s="343"/>
      <c r="AP3" s="343"/>
      <c r="AQ3" s="343"/>
      <c r="AR3" s="343"/>
      <c r="AS3" s="343"/>
      <c r="AT3" s="343"/>
      <c r="AU3" s="343"/>
      <c r="AV3" s="18"/>
    </row>
    <row r="4" spans="1:48" s="13" customFormat="1" ht="30" customHeight="1">
      <c r="A4" s="342" t="s">
        <v>176</v>
      </c>
      <c r="B4" s="342"/>
      <c r="C4" s="342"/>
      <c r="D4" s="342"/>
      <c r="E4" s="342"/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342"/>
      <c r="S4" s="342"/>
      <c r="T4" s="342"/>
      <c r="U4" s="342"/>
      <c r="V4" s="342"/>
      <c r="W4" s="342"/>
      <c r="X4" s="342"/>
      <c r="Y4" s="342"/>
      <c r="Z4" s="342"/>
      <c r="AA4" s="342"/>
      <c r="AB4" s="342"/>
      <c r="AC4" s="342"/>
      <c r="AD4" s="342"/>
      <c r="AE4" s="342"/>
      <c r="AF4" s="342"/>
      <c r="AG4" s="342"/>
      <c r="AH4" s="342"/>
      <c r="AI4" s="342"/>
      <c r="AJ4" s="342"/>
      <c r="AK4" s="342"/>
      <c r="AL4" s="342"/>
      <c r="AM4" s="342"/>
      <c r="AN4" s="342"/>
      <c r="AO4" s="342"/>
      <c r="AP4" s="342"/>
      <c r="AQ4" s="342"/>
      <c r="AR4" s="342"/>
      <c r="AS4" s="342"/>
      <c r="AT4" s="342"/>
      <c r="AU4" s="342"/>
      <c r="AV4" s="342"/>
    </row>
    <row r="5" spans="1:48" ht="30" customHeight="1">
      <c r="H5" s="344" t="s">
        <v>275</v>
      </c>
      <c r="I5" s="344"/>
      <c r="J5" s="344"/>
      <c r="K5" s="344"/>
      <c r="L5" s="344"/>
      <c r="M5" s="344"/>
      <c r="N5" s="344"/>
      <c r="O5" s="344"/>
      <c r="P5" s="344"/>
      <c r="Q5" s="344"/>
      <c r="R5" s="344"/>
      <c r="S5" s="344"/>
      <c r="T5" s="344"/>
      <c r="U5" s="344"/>
      <c r="V5" s="344"/>
      <c r="W5" s="344"/>
      <c r="X5" s="344"/>
      <c r="Y5" s="344"/>
      <c r="Z5" s="344"/>
      <c r="AB5" s="344" t="s">
        <v>284</v>
      </c>
      <c r="AC5" s="344"/>
      <c r="AD5" s="344"/>
      <c r="AE5" s="344"/>
      <c r="AF5" s="344"/>
      <c r="AG5" s="344"/>
      <c r="AH5" s="344"/>
      <c r="AI5" s="344"/>
      <c r="AJ5" s="344"/>
      <c r="AK5" s="344"/>
      <c r="AL5" s="344"/>
      <c r="AM5" s="344"/>
      <c r="AN5" s="344"/>
      <c r="AO5" s="344"/>
      <c r="AP5" s="344"/>
      <c r="AQ5" s="344"/>
      <c r="AR5" s="344"/>
    </row>
    <row r="6" spans="1:48" ht="36.75" customHeight="1">
      <c r="A6" s="344" t="s">
        <v>13</v>
      </c>
      <c r="B6" s="344"/>
      <c r="C6" s="344"/>
      <c r="D6" s="344"/>
      <c r="E6" s="344"/>
      <c r="F6" s="344"/>
      <c r="H6" s="344" t="s">
        <v>14</v>
      </c>
      <c r="I6" s="344"/>
      <c r="J6" s="344"/>
      <c r="L6" s="344" t="s">
        <v>15</v>
      </c>
      <c r="M6" s="344"/>
      <c r="N6" s="344"/>
      <c r="P6" s="344" t="s">
        <v>16</v>
      </c>
      <c r="Q6" s="344"/>
      <c r="R6" s="344"/>
      <c r="S6" s="344"/>
      <c r="T6" s="344"/>
      <c r="V6" s="344" t="s">
        <v>17</v>
      </c>
      <c r="W6" s="344"/>
      <c r="X6" s="344"/>
      <c r="Y6" s="344"/>
      <c r="Z6" s="344"/>
      <c r="AB6" s="344" t="s">
        <v>14</v>
      </c>
      <c r="AC6" s="344"/>
      <c r="AD6" s="344"/>
      <c r="AE6" s="344"/>
      <c r="AF6" s="344"/>
      <c r="AH6" s="344" t="s">
        <v>15</v>
      </c>
      <c r="AI6" s="344"/>
      <c r="AJ6" s="344"/>
      <c r="AL6" s="344" t="s">
        <v>16</v>
      </c>
      <c r="AM6" s="344"/>
      <c r="AN6" s="344"/>
      <c r="AP6" s="344" t="s">
        <v>17</v>
      </c>
      <c r="AQ6" s="344"/>
      <c r="AR6" s="344"/>
    </row>
    <row r="7" spans="1:48" ht="38.25" customHeight="1">
      <c r="A7" s="371"/>
      <c r="B7" s="371"/>
      <c r="C7" s="371"/>
      <c r="D7" s="371"/>
      <c r="E7" s="371"/>
      <c r="F7" s="371"/>
      <c r="H7" s="370"/>
      <c r="I7" s="370"/>
      <c r="J7" s="370"/>
      <c r="K7" s="14"/>
      <c r="L7" s="370"/>
      <c r="M7" s="370"/>
      <c r="N7" s="370"/>
      <c r="O7" s="14"/>
      <c r="P7" s="371"/>
      <c r="Q7" s="371"/>
      <c r="R7" s="371"/>
      <c r="S7" s="371"/>
      <c r="T7" s="371"/>
      <c r="U7" s="14"/>
      <c r="V7" s="372"/>
      <c r="W7" s="372"/>
      <c r="X7" s="372"/>
      <c r="Y7" s="372"/>
      <c r="Z7" s="372"/>
      <c r="AA7" s="14"/>
      <c r="AB7" s="370"/>
      <c r="AC7" s="370"/>
      <c r="AD7" s="370"/>
      <c r="AE7" s="370"/>
      <c r="AF7" s="370"/>
      <c r="AG7" s="14"/>
      <c r="AH7" s="370"/>
      <c r="AI7" s="370"/>
      <c r="AJ7" s="370"/>
      <c r="AK7" s="14"/>
      <c r="AL7" s="371"/>
      <c r="AM7" s="371"/>
      <c r="AN7" s="371"/>
      <c r="AO7" s="14"/>
      <c r="AP7" s="372"/>
      <c r="AQ7" s="372"/>
      <c r="AR7" s="372"/>
    </row>
    <row r="8" spans="1:48" s="13" customFormat="1" ht="30" customHeight="1">
      <c r="A8" s="373" t="s">
        <v>18</v>
      </c>
      <c r="B8" s="373"/>
      <c r="C8" s="373"/>
      <c r="D8" s="373"/>
      <c r="E8" s="373"/>
      <c r="F8" s="373"/>
      <c r="G8" s="373"/>
      <c r="H8" s="373"/>
      <c r="I8" s="373"/>
      <c r="J8" s="373"/>
      <c r="K8" s="373"/>
      <c r="L8" s="373"/>
      <c r="M8" s="373"/>
      <c r="N8" s="373"/>
      <c r="O8" s="373"/>
      <c r="P8" s="373"/>
      <c r="Q8" s="373"/>
      <c r="R8" s="373"/>
      <c r="S8" s="373"/>
      <c r="T8" s="373"/>
      <c r="U8" s="373"/>
      <c r="V8" s="373"/>
      <c r="W8" s="373"/>
      <c r="X8" s="373"/>
      <c r="Y8" s="373"/>
      <c r="Z8" s="373"/>
      <c r="AA8" s="373"/>
      <c r="AB8" s="373"/>
      <c r="AC8" s="373"/>
      <c r="AD8" s="373"/>
      <c r="AE8" s="373"/>
      <c r="AF8" s="373"/>
      <c r="AG8" s="373"/>
      <c r="AH8" s="373"/>
      <c r="AI8" s="373"/>
      <c r="AJ8" s="373"/>
      <c r="AK8" s="373"/>
      <c r="AL8" s="373"/>
      <c r="AM8" s="373"/>
      <c r="AN8" s="373"/>
      <c r="AO8" s="373"/>
      <c r="AP8" s="373"/>
      <c r="AQ8" s="373"/>
      <c r="AR8" s="373"/>
      <c r="AS8" s="373"/>
      <c r="AT8" s="373"/>
      <c r="AU8" s="373"/>
      <c r="AV8" s="373"/>
    </row>
    <row r="9" spans="1:48" ht="30" customHeight="1">
      <c r="B9" s="344" t="s">
        <v>275</v>
      </c>
      <c r="C9" s="344"/>
      <c r="D9" s="344"/>
      <c r="E9" s="344"/>
      <c r="F9" s="344"/>
      <c r="G9" s="344"/>
      <c r="H9" s="344"/>
      <c r="I9" s="344"/>
      <c r="J9" s="344"/>
      <c r="K9" s="344"/>
      <c r="L9" s="344"/>
      <c r="M9" s="344"/>
      <c r="N9" s="344"/>
      <c r="O9" s="344"/>
      <c r="P9" s="344"/>
      <c r="Q9" s="344"/>
      <c r="R9" s="344"/>
      <c r="S9" s="344"/>
      <c r="T9" s="344"/>
      <c r="U9" s="344"/>
      <c r="V9" s="344"/>
      <c r="X9" s="344" t="s">
        <v>284</v>
      </c>
      <c r="Y9" s="344"/>
      <c r="Z9" s="344"/>
      <c r="AA9" s="344"/>
      <c r="AB9" s="344"/>
      <c r="AC9" s="344"/>
      <c r="AD9" s="344"/>
      <c r="AE9" s="344"/>
      <c r="AF9" s="344"/>
      <c r="AG9" s="344"/>
      <c r="AH9" s="344"/>
      <c r="AI9" s="344"/>
      <c r="AJ9" s="344"/>
      <c r="AK9" s="344"/>
      <c r="AL9" s="344"/>
      <c r="AM9" s="344"/>
      <c r="AN9" s="344"/>
      <c r="AO9" s="344"/>
      <c r="AP9" s="344"/>
      <c r="AQ9" s="344"/>
      <c r="AR9" s="344"/>
      <c r="AS9" s="344"/>
      <c r="AT9" s="344"/>
      <c r="AU9" s="344"/>
    </row>
    <row r="10" spans="1:48" ht="42" customHeight="1">
      <c r="A10" s="1" t="s">
        <v>13</v>
      </c>
      <c r="B10" s="2" t="s">
        <v>19</v>
      </c>
      <c r="C10" s="26"/>
      <c r="D10" s="2" t="s">
        <v>20</v>
      </c>
      <c r="E10" s="26"/>
      <c r="F10" s="374" t="s">
        <v>21</v>
      </c>
      <c r="G10" s="374"/>
      <c r="H10" s="374"/>
      <c r="I10" s="26"/>
      <c r="J10" s="345" t="s">
        <v>22</v>
      </c>
      <c r="K10" s="345"/>
      <c r="L10" s="345"/>
      <c r="M10" s="26"/>
      <c r="N10" s="345" t="s">
        <v>15</v>
      </c>
      <c r="O10" s="345"/>
      <c r="P10" s="345"/>
      <c r="Q10" s="26"/>
      <c r="R10" s="345" t="s">
        <v>16</v>
      </c>
      <c r="S10" s="345"/>
      <c r="T10" s="345"/>
      <c r="U10" s="345"/>
      <c r="V10" s="345"/>
      <c r="X10" s="345" t="s">
        <v>19</v>
      </c>
      <c r="Y10" s="345"/>
      <c r="Z10" s="345"/>
      <c r="AA10" s="345"/>
      <c r="AB10" s="345"/>
      <c r="AC10" s="26"/>
      <c r="AD10" s="345" t="s">
        <v>20</v>
      </c>
      <c r="AE10" s="345"/>
      <c r="AF10" s="345"/>
      <c r="AG10" s="345"/>
      <c r="AH10" s="345"/>
      <c r="AI10" s="26"/>
      <c r="AJ10" s="374" t="s">
        <v>21</v>
      </c>
      <c r="AK10" s="374"/>
      <c r="AL10" s="374"/>
      <c r="AM10" s="26"/>
      <c r="AN10" s="345" t="s">
        <v>22</v>
      </c>
      <c r="AO10" s="345"/>
      <c r="AP10" s="345"/>
      <c r="AQ10" s="26"/>
      <c r="AR10" s="345" t="s">
        <v>15</v>
      </c>
      <c r="AS10" s="345"/>
      <c r="AT10" s="26"/>
      <c r="AU10" s="2" t="s">
        <v>16</v>
      </c>
    </row>
    <row r="11" spans="1:48" ht="37.5" customHeight="1">
      <c r="A11" s="8"/>
      <c r="B11" s="8"/>
      <c r="C11" s="14"/>
      <c r="D11" s="8"/>
      <c r="E11" s="14"/>
      <c r="F11" s="371" t="s">
        <v>23</v>
      </c>
      <c r="G11" s="371"/>
      <c r="H11" s="371"/>
      <c r="I11" s="14"/>
      <c r="J11" s="370"/>
      <c r="K11" s="370"/>
      <c r="L11" s="370"/>
      <c r="M11" s="14"/>
      <c r="N11" s="370"/>
      <c r="O11" s="370"/>
      <c r="P11" s="370"/>
      <c r="Q11" s="14"/>
      <c r="R11" s="371"/>
      <c r="S11" s="371"/>
      <c r="T11" s="371"/>
      <c r="U11" s="371"/>
      <c r="V11" s="371"/>
      <c r="W11" s="14"/>
      <c r="X11" s="371"/>
      <c r="Y11" s="371"/>
      <c r="Z11" s="371"/>
      <c r="AA11" s="371"/>
      <c r="AB11" s="371"/>
      <c r="AC11" s="14"/>
      <c r="AD11" s="371"/>
      <c r="AE11" s="371"/>
      <c r="AF11" s="371"/>
      <c r="AG11" s="371"/>
      <c r="AH11" s="371"/>
      <c r="AI11" s="14"/>
      <c r="AJ11" s="371"/>
      <c r="AK11" s="371"/>
      <c r="AL11" s="371"/>
      <c r="AM11" s="14"/>
      <c r="AN11" s="370"/>
      <c r="AO11" s="370"/>
      <c r="AP11" s="370"/>
      <c r="AQ11" s="14"/>
      <c r="AR11" s="370"/>
      <c r="AS11" s="370"/>
      <c r="AT11" s="14"/>
      <c r="AU11" s="8"/>
    </row>
  </sheetData>
  <mergeCells count="48">
    <mergeCell ref="AD11:AH11"/>
    <mergeCell ref="AJ11:AL11"/>
    <mergeCell ref="AN11:AP11"/>
    <mergeCell ref="AR11:AS11"/>
    <mergeCell ref="F11:H11"/>
    <mergeCell ref="J11:L11"/>
    <mergeCell ref="N11:P11"/>
    <mergeCell ref="R11:V11"/>
    <mergeCell ref="X11:AB11"/>
    <mergeCell ref="A8:AV8"/>
    <mergeCell ref="B9:V9"/>
    <mergeCell ref="X9:AU9"/>
    <mergeCell ref="F10:H10"/>
    <mergeCell ref="J10:L10"/>
    <mergeCell ref="N10:P10"/>
    <mergeCell ref="R10:V10"/>
    <mergeCell ref="X10:AB10"/>
    <mergeCell ref="AD10:AH10"/>
    <mergeCell ref="AJ10:AL10"/>
    <mergeCell ref="AN10:AP10"/>
    <mergeCell ref="AR10:AS10"/>
    <mergeCell ref="A1:AU1"/>
    <mergeCell ref="A2:AU2"/>
    <mergeCell ref="A3:AU3"/>
    <mergeCell ref="AB7:AF7"/>
    <mergeCell ref="AH7:AJ7"/>
    <mergeCell ref="AL7:AN7"/>
    <mergeCell ref="AP7:AR7"/>
    <mergeCell ref="A6:F6"/>
    <mergeCell ref="H6:J6"/>
    <mergeCell ref="L6:N6"/>
    <mergeCell ref="A7:F7"/>
    <mergeCell ref="H7:J7"/>
    <mergeCell ref="V7:Z7"/>
    <mergeCell ref="P6:T6"/>
    <mergeCell ref="A4:M4"/>
    <mergeCell ref="N4:Z4"/>
    <mergeCell ref="AA4:AM4"/>
    <mergeCell ref="AN4:AV4"/>
    <mergeCell ref="V6:Z6"/>
    <mergeCell ref="AB6:AF6"/>
    <mergeCell ref="AH6:AJ6"/>
    <mergeCell ref="L7:N7"/>
    <mergeCell ref="P7:T7"/>
    <mergeCell ref="AL6:AN6"/>
    <mergeCell ref="AP6:AR6"/>
    <mergeCell ref="H5:Z5"/>
    <mergeCell ref="AB5:AR5"/>
  </mergeCells>
  <pageMargins left="0.39" right="0.39" top="0.39" bottom="0.39" header="0" footer="0"/>
  <pageSetup scale="6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-0.249977111117893"/>
    <pageSetUpPr fitToPage="1"/>
  </sheetPr>
  <dimension ref="A1:AH31"/>
  <sheetViews>
    <sheetView rightToLeft="1" view="pageBreakPreview" zoomScaleNormal="100" zoomScaleSheetLayoutView="100" workbookViewId="0">
      <selection activeCell="AD1" sqref="AD1"/>
    </sheetView>
  </sheetViews>
  <sheetFormatPr defaultRowHeight="30" customHeight="1"/>
  <cols>
    <col min="1" max="1" width="5.140625" style="12" customWidth="1"/>
    <col min="2" max="2" width="27.140625" style="12" customWidth="1"/>
    <col min="3" max="3" width="0.7109375" style="12" customWidth="1"/>
    <col min="4" max="4" width="2.5703125" style="54" customWidth="1"/>
    <col min="5" max="5" width="10.42578125" style="54" customWidth="1"/>
    <col min="6" max="6" width="0.7109375" style="12" customWidth="1"/>
    <col min="7" max="7" width="19.42578125" style="12" customWidth="1"/>
    <col min="8" max="8" width="0.5703125" style="12" customWidth="1"/>
    <col min="9" max="9" width="18.42578125" style="12" bestFit="1" customWidth="1"/>
    <col min="10" max="10" width="0.5703125" style="12" customWidth="1"/>
    <col min="11" max="11" width="13" style="12" customWidth="1"/>
    <col min="12" max="12" width="0.5703125" style="12" customWidth="1"/>
    <col min="13" max="13" width="18.42578125" style="12" bestFit="1" customWidth="1"/>
    <col min="14" max="14" width="0.28515625" style="12" customWidth="1"/>
    <col min="15" max="15" width="16.28515625" style="12" bestFit="1" customWidth="1"/>
    <col min="16" max="16" width="0.42578125" style="12" customWidth="1"/>
    <col min="17" max="17" width="17.7109375" style="12" bestFit="1" customWidth="1"/>
    <col min="18" max="18" width="0.5703125" style="12" customWidth="1"/>
    <col min="19" max="19" width="12.7109375" style="12" customWidth="1"/>
    <col min="20" max="20" width="0.7109375" style="12" customWidth="1"/>
    <col min="21" max="21" width="14.140625" style="54" customWidth="1"/>
    <col min="22" max="22" width="0.5703125" style="54" customWidth="1"/>
    <col min="23" max="23" width="20.42578125" style="54" bestFit="1" customWidth="1"/>
    <col min="24" max="24" width="0.7109375" style="54" customWidth="1"/>
    <col min="25" max="25" width="19" style="54" bestFit="1" customWidth="1"/>
    <col min="26" max="26" width="0.7109375" style="54" customWidth="1"/>
    <col min="27" max="27" width="14.140625" style="54" customWidth="1"/>
    <col min="28" max="28" width="0.28515625" style="12" customWidth="1"/>
    <col min="29" max="29" width="20.7109375" style="12" hidden="1" customWidth="1"/>
    <col min="30" max="30" width="20.5703125" style="30" bestFit="1" customWidth="1"/>
    <col min="31" max="32" width="18.7109375" style="99" bestFit="1" customWidth="1"/>
    <col min="33" max="33" width="9.5703125" style="99" bestFit="1" customWidth="1"/>
    <col min="34" max="16384" width="9.140625" style="12"/>
  </cols>
  <sheetData>
    <row r="1" spans="1:34" ht="30" customHeight="1">
      <c r="A1" s="343" t="s">
        <v>0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3"/>
      <c r="V1" s="343"/>
      <c r="W1" s="343"/>
      <c r="X1" s="343"/>
      <c r="Y1" s="343"/>
      <c r="Z1" s="343"/>
      <c r="AA1" s="343"/>
    </row>
    <row r="2" spans="1:34" ht="30" customHeight="1">
      <c r="A2" s="343" t="s">
        <v>1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343"/>
      <c r="X2" s="343"/>
      <c r="Y2" s="343"/>
      <c r="Z2" s="343"/>
      <c r="AA2" s="343"/>
    </row>
    <row r="3" spans="1:34" ht="30" customHeight="1">
      <c r="A3" s="343" t="s">
        <v>283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343"/>
      <c r="S3" s="343"/>
      <c r="T3" s="343"/>
      <c r="U3" s="343"/>
      <c r="V3" s="343"/>
      <c r="W3" s="343"/>
      <c r="X3" s="343"/>
      <c r="Y3" s="343"/>
      <c r="Z3" s="343"/>
      <c r="AA3" s="343"/>
    </row>
    <row r="4" spans="1:34" s="13" customFormat="1" ht="30" customHeight="1">
      <c r="A4" s="342" t="s">
        <v>150</v>
      </c>
      <c r="B4" s="342"/>
      <c r="C4" s="342"/>
      <c r="D4" s="342"/>
      <c r="E4" s="342"/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342"/>
      <c r="S4" s="342"/>
      <c r="T4" s="342"/>
      <c r="U4" s="342"/>
      <c r="V4" s="342"/>
      <c r="W4" s="342"/>
      <c r="X4" s="342"/>
      <c r="Y4" s="342"/>
      <c r="Z4" s="342"/>
      <c r="AA4" s="342"/>
      <c r="AD4" s="44"/>
      <c r="AE4" s="118"/>
      <c r="AF4" s="118"/>
      <c r="AG4" s="118"/>
    </row>
    <row r="5" spans="1:34" ht="30" customHeight="1">
      <c r="D5" s="120"/>
      <c r="E5" s="344" t="s">
        <v>275</v>
      </c>
      <c r="F5" s="344"/>
      <c r="G5" s="344"/>
      <c r="H5" s="344"/>
      <c r="I5" s="344"/>
      <c r="K5" s="376" t="s">
        <v>2</v>
      </c>
      <c r="L5" s="376"/>
      <c r="M5" s="376"/>
      <c r="N5" s="376"/>
      <c r="O5" s="376"/>
      <c r="P5" s="376"/>
      <c r="Q5" s="376"/>
      <c r="S5" s="344" t="s">
        <v>284</v>
      </c>
      <c r="T5" s="344"/>
      <c r="U5" s="344"/>
      <c r="V5" s="344"/>
      <c r="W5" s="344"/>
      <c r="X5" s="344"/>
      <c r="Y5" s="344"/>
      <c r="Z5" s="344"/>
      <c r="AA5" s="344"/>
    </row>
    <row r="6" spans="1:34" ht="30" customHeight="1">
      <c r="D6" s="343" t="s">
        <v>27</v>
      </c>
      <c r="E6" s="343"/>
      <c r="F6" s="26"/>
      <c r="G6" s="377" t="s">
        <v>7</v>
      </c>
      <c r="H6" s="26"/>
      <c r="I6" s="377" t="s">
        <v>8</v>
      </c>
      <c r="K6" s="345" t="s">
        <v>24</v>
      </c>
      <c r="L6" s="345"/>
      <c r="M6" s="345"/>
      <c r="N6" s="26"/>
      <c r="O6" s="345" t="s">
        <v>25</v>
      </c>
      <c r="P6" s="345"/>
      <c r="Q6" s="345"/>
      <c r="S6" s="377" t="s">
        <v>6</v>
      </c>
      <c r="T6" s="26"/>
      <c r="U6" s="357" t="s">
        <v>170</v>
      </c>
      <c r="V6" s="80"/>
      <c r="W6" s="359" t="s">
        <v>7</v>
      </c>
      <c r="X6" s="80"/>
      <c r="Y6" s="359" t="s">
        <v>8</v>
      </c>
      <c r="Z6" s="80"/>
      <c r="AA6" s="357" t="s">
        <v>11</v>
      </c>
    </row>
    <row r="7" spans="1:34" ht="30" customHeight="1">
      <c r="A7" s="344" t="s">
        <v>26</v>
      </c>
      <c r="B7" s="344"/>
      <c r="D7" s="343"/>
      <c r="E7" s="343"/>
      <c r="G7" s="364"/>
      <c r="I7" s="364"/>
      <c r="K7" s="2" t="s">
        <v>6</v>
      </c>
      <c r="L7" s="26"/>
      <c r="M7" s="2" t="s">
        <v>7</v>
      </c>
      <c r="O7" s="2" t="s">
        <v>6</v>
      </c>
      <c r="P7" s="26"/>
      <c r="Q7" s="2" t="s">
        <v>9</v>
      </c>
      <c r="S7" s="364"/>
      <c r="U7" s="358"/>
      <c r="W7" s="360"/>
      <c r="Y7" s="360"/>
      <c r="AA7" s="358"/>
    </row>
    <row r="8" spans="1:34" ht="30" customHeight="1">
      <c r="A8" s="361" t="s">
        <v>218</v>
      </c>
      <c r="B8" s="361"/>
      <c r="C8" s="176"/>
      <c r="D8" s="378">
        <v>1586523</v>
      </c>
      <c r="E8" s="378"/>
      <c r="F8" s="182"/>
      <c r="G8" s="183">
        <v>22938879990</v>
      </c>
      <c r="H8" s="182"/>
      <c r="I8" s="183">
        <v>28919661821.859402</v>
      </c>
      <c r="J8" s="275">
        <v>6595634292</v>
      </c>
      <c r="K8" s="183">
        <v>0</v>
      </c>
      <c r="L8" s="182"/>
      <c r="M8" s="183">
        <v>0</v>
      </c>
      <c r="N8" s="182"/>
      <c r="O8" s="183">
        <v>333</v>
      </c>
      <c r="P8" s="182"/>
      <c r="Q8" s="184">
        <v>6981371</v>
      </c>
      <c r="R8" s="182"/>
      <c r="S8" s="183">
        <f t="shared" ref="S8:S26" si="0">D8+K8-O8</f>
        <v>1586190</v>
      </c>
      <c r="T8" s="182"/>
      <c r="U8" s="276">
        <v>21340</v>
      </c>
      <c r="V8" s="182"/>
      <c r="W8" s="183">
        <v>22934065281</v>
      </c>
      <c r="X8" s="182"/>
      <c r="Y8" s="183">
        <v>33809098563</v>
      </c>
      <c r="Z8" s="182"/>
      <c r="AA8" s="185">
        <f t="shared" ref="AA8:AA29" si="1">Y8/11973492906908</f>
        <v>2.8236621365094008E-3</v>
      </c>
      <c r="AC8" s="277">
        <v>7325921202288</v>
      </c>
    </row>
    <row r="9" spans="1:34" ht="30" customHeight="1">
      <c r="A9" s="361" t="s">
        <v>217</v>
      </c>
      <c r="B9" s="361"/>
      <c r="C9" s="176"/>
      <c r="D9" s="375">
        <v>9925156</v>
      </c>
      <c r="E9" s="375"/>
      <c r="F9" s="182"/>
      <c r="G9" s="183">
        <v>111984156854</v>
      </c>
      <c r="H9" s="182"/>
      <c r="I9" s="183">
        <v>135466199372.621</v>
      </c>
      <c r="J9" s="182"/>
      <c r="K9" s="183">
        <v>0</v>
      </c>
      <c r="L9" s="182"/>
      <c r="M9" s="183">
        <v>0</v>
      </c>
      <c r="N9" s="182"/>
      <c r="O9" s="183">
        <v>3000000</v>
      </c>
      <c r="P9" s="182"/>
      <c r="Q9" s="183">
        <v>40301155496</v>
      </c>
      <c r="R9" s="182"/>
      <c r="S9" s="183">
        <f t="shared" si="0"/>
        <v>6925156</v>
      </c>
      <c r="T9" s="182"/>
      <c r="U9" s="24">
        <v>13495</v>
      </c>
      <c r="V9" s="182"/>
      <c r="W9" s="183">
        <v>78135573460</v>
      </c>
      <c r="X9" s="182"/>
      <c r="Y9" s="183">
        <v>93344002431</v>
      </c>
      <c r="Z9" s="182"/>
      <c r="AA9" s="185">
        <f t="shared" si="1"/>
        <v>7.7958873953268898E-3</v>
      </c>
      <c r="AE9" s="186"/>
      <c r="AF9" s="186"/>
      <c r="AG9" s="186"/>
      <c r="AH9" s="187"/>
    </row>
    <row r="10" spans="1:34" ht="30" customHeight="1">
      <c r="A10" s="361" t="s">
        <v>231</v>
      </c>
      <c r="B10" s="361"/>
      <c r="C10" s="176"/>
      <c r="D10" s="375">
        <v>5234104</v>
      </c>
      <c r="E10" s="375"/>
      <c r="F10" s="182"/>
      <c r="G10" s="183">
        <v>51721218908</v>
      </c>
      <c r="H10" s="182"/>
      <c r="I10" s="183">
        <v>55337199788.377502</v>
      </c>
      <c r="J10" s="182"/>
      <c r="K10" s="183">
        <v>0</v>
      </c>
      <c r="L10" s="182"/>
      <c r="M10" s="183">
        <v>0</v>
      </c>
      <c r="N10" s="182"/>
      <c r="O10" s="183">
        <v>0</v>
      </c>
      <c r="P10" s="182"/>
      <c r="Q10" s="183">
        <v>0</v>
      </c>
      <c r="R10" s="182"/>
      <c r="S10" s="183">
        <f t="shared" si="0"/>
        <v>5234104</v>
      </c>
      <c r="T10" s="182"/>
      <c r="U10" s="24">
        <v>12052</v>
      </c>
      <c r="V10" s="182"/>
      <c r="W10" s="183">
        <v>51721218908</v>
      </c>
      <c r="X10" s="182"/>
      <c r="Y10" s="183">
        <v>63006512220</v>
      </c>
      <c r="Z10" s="182"/>
      <c r="AA10" s="185">
        <f t="shared" si="1"/>
        <v>5.2621664129143932E-3</v>
      </c>
      <c r="AE10" s="186"/>
      <c r="AF10" s="186"/>
      <c r="AG10" s="186"/>
      <c r="AH10" s="187"/>
    </row>
    <row r="11" spans="1:34" ht="30" customHeight="1">
      <c r="A11" s="361" t="s">
        <v>219</v>
      </c>
      <c r="B11" s="361"/>
      <c r="C11" s="176"/>
      <c r="D11" s="375">
        <v>740000</v>
      </c>
      <c r="E11" s="375"/>
      <c r="F11" s="24"/>
      <c r="G11" s="183">
        <v>10023814152</v>
      </c>
      <c r="H11" s="183"/>
      <c r="I11" s="183">
        <v>13658960700</v>
      </c>
      <c r="J11" s="183"/>
      <c r="K11" s="183">
        <v>0</v>
      </c>
      <c r="L11" s="182"/>
      <c r="M11" s="183">
        <v>0</v>
      </c>
      <c r="N11" s="182"/>
      <c r="O11" s="183">
        <v>0</v>
      </c>
      <c r="P11" s="182"/>
      <c r="Q11" s="183">
        <v>0</v>
      </c>
      <c r="R11" s="182"/>
      <c r="S11" s="183">
        <f t="shared" si="0"/>
        <v>740000</v>
      </c>
      <c r="T11" s="182"/>
      <c r="U11" s="24">
        <v>19340</v>
      </c>
      <c r="V11" s="182"/>
      <c r="W11" s="183">
        <v>10023814152</v>
      </c>
      <c r="X11" s="182"/>
      <c r="Y11" s="183">
        <v>14294604975</v>
      </c>
      <c r="Z11" s="182"/>
      <c r="AA11" s="185">
        <f t="shared" si="1"/>
        <v>1.1938542149845727E-3</v>
      </c>
      <c r="AC11" s="87"/>
      <c r="AE11" s="186"/>
      <c r="AF11" s="186"/>
      <c r="AG11" s="186"/>
    </row>
    <row r="12" spans="1:34" ht="30" customHeight="1">
      <c r="A12" s="361" t="s">
        <v>220</v>
      </c>
      <c r="B12" s="361"/>
      <c r="C12" s="176"/>
      <c r="D12" s="375">
        <v>136834</v>
      </c>
      <c r="E12" s="375"/>
      <c r="F12" s="182"/>
      <c r="G12" s="183">
        <v>39769806840</v>
      </c>
      <c r="H12" s="183"/>
      <c r="I12" s="183">
        <v>50184411619.203796</v>
      </c>
      <c r="J12" s="183"/>
      <c r="K12" s="183">
        <v>0</v>
      </c>
      <c r="L12" s="182"/>
      <c r="M12" s="183">
        <v>0</v>
      </c>
      <c r="N12" s="182"/>
      <c r="O12" s="183">
        <v>136834</v>
      </c>
      <c r="P12" s="182"/>
      <c r="Q12" s="183">
        <v>52742902282</v>
      </c>
      <c r="R12" s="182"/>
      <c r="S12" s="183">
        <f t="shared" si="0"/>
        <v>0</v>
      </c>
      <c r="T12" s="182"/>
      <c r="U12" s="24">
        <v>0</v>
      </c>
      <c r="V12" s="182"/>
      <c r="W12" s="183">
        <v>0</v>
      </c>
      <c r="X12" s="182"/>
      <c r="Y12" s="183">
        <v>0</v>
      </c>
      <c r="Z12" s="182"/>
      <c r="AA12" s="185">
        <f t="shared" si="1"/>
        <v>0</v>
      </c>
      <c r="AC12" s="43"/>
      <c r="AE12" s="186"/>
      <c r="AF12" s="186"/>
      <c r="AG12" s="186"/>
    </row>
    <row r="13" spans="1:34" ht="30" customHeight="1">
      <c r="A13" s="361" t="s">
        <v>221</v>
      </c>
      <c r="B13" s="361"/>
      <c r="C13" s="176"/>
      <c r="D13" s="375">
        <v>231325</v>
      </c>
      <c r="E13" s="375"/>
      <c r="F13" s="182"/>
      <c r="G13" s="183">
        <v>39297568946</v>
      </c>
      <c r="H13" s="183"/>
      <c r="I13" s="183">
        <v>40588606475.484398</v>
      </c>
      <c r="J13" s="183"/>
      <c r="K13" s="183">
        <v>0</v>
      </c>
      <c r="L13" s="182"/>
      <c r="M13" s="183">
        <v>0</v>
      </c>
      <c r="N13" s="182"/>
      <c r="O13" s="183">
        <v>231325</v>
      </c>
      <c r="P13" s="182"/>
      <c r="Q13" s="183">
        <v>51686862581</v>
      </c>
      <c r="R13" s="182"/>
      <c r="S13" s="183">
        <f t="shared" si="0"/>
        <v>0</v>
      </c>
      <c r="T13" s="182"/>
      <c r="U13" s="24">
        <v>0</v>
      </c>
      <c r="V13" s="182"/>
      <c r="W13" s="183">
        <v>0</v>
      </c>
      <c r="X13" s="182"/>
      <c r="Y13" s="183">
        <v>0</v>
      </c>
      <c r="Z13" s="182"/>
      <c r="AA13" s="185">
        <f t="shared" si="1"/>
        <v>0</v>
      </c>
      <c r="AC13" s="43"/>
      <c r="AE13" s="186"/>
      <c r="AF13" s="186"/>
      <c r="AG13" s="186"/>
    </row>
    <row r="14" spans="1:34" ht="30" customHeight="1">
      <c r="A14" s="361" t="s">
        <v>180</v>
      </c>
      <c r="B14" s="361"/>
      <c r="C14" s="24"/>
      <c r="D14" s="375">
        <v>2000000</v>
      </c>
      <c r="E14" s="375"/>
      <c r="F14" s="183"/>
      <c r="G14" s="183">
        <v>25393422240</v>
      </c>
      <c r="H14" s="183"/>
      <c r="I14" s="183">
        <v>30122187375</v>
      </c>
      <c r="J14" s="183"/>
      <c r="K14" s="183">
        <v>0</v>
      </c>
      <c r="L14" s="182"/>
      <c r="M14" s="183">
        <v>0</v>
      </c>
      <c r="N14" s="182"/>
      <c r="O14" s="183">
        <v>0</v>
      </c>
      <c r="P14" s="183"/>
      <c r="Q14" s="183">
        <v>0</v>
      </c>
      <c r="R14" s="183"/>
      <c r="S14" s="183">
        <f t="shared" si="0"/>
        <v>2000000</v>
      </c>
      <c r="T14" s="182"/>
      <c r="U14" s="24">
        <v>15434</v>
      </c>
      <c r="V14" s="182"/>
      <c r="W14" s="183">
        <v>25393422240</v>
      </c>
      <c r="X14" s="182"/>
      <c r="Y14" s="183">
        <v>30831344250</v>
      </c>
      <c r="Z14" s="182"/>
      <c r="AA14" s="185">
        <f t="shared" si="1"/>
        <v>2.5749665941015533E-3</v>
      </c>
      <c r="AC14" s="43"/>
      <c r="AE14" s="186"/>
      <c r="AF14" s="186"/>
      <c r="AG14" s="186"/>
    </row>
    <row r="15" spans="1:34" ht="30" customHeight="1">
      <c r="A15" s="361" t="s">
        <v>181</v>
      </c>
      <c r="B15" s="361"/>
      <c r="C15" s="24"/>
      <c r="D15" s="375">
        <v>512000</v>
      </c>
      <c r="E15" s="375"/>
      <c r="F15" s="24"/>
      <c r="G15" s="183">
        <v>9988917716</v>
      </c>
      <c r="H15" s="183"/>
      <c r="I15" s="183">
        <v>12617063424</v>
      </c>
      <c r="J15" s="183"/>
      <c r="K15" s="183">
        <v>0</v>
      </c>
      <c r="L15" s="182"/>
      <c r="M15" s="183">
        <v>0</v>
      </c>
      <c r="N15" s="182"/>
      <c r="O15" s="183">
        <v>0</v>
      </c>
      <c r="P15" s="183"/>
      <c r="Q15" s="183">
        <v>0</v>
      </c>
      <c r="R15" s="183"/>
      <c r="S15" s="183">
        <f t="shared" si="0"/>
        <v>512000</v>
      </c>
      <c r="T15" s="182"/>
      <c r="U15" s="24">
        <v>25280</v>
      </c>
      <c r="V15" s="182"/>
      <c r="W15" s="183">
        <v>9988917716</v>
      </c>
      <c r="X15" s="182"/>
      <c r="Y15" s="183">
        <v>12927989760</v>
      </c>
      <c r="Z15" s="182"/>
      <c r="AA15" s="185">
        <f t="shared" si="1"/>
        <v>1.0797174943446379E-3</v>
      </c>
      <c r="AC15" s="43"/>
      <c r="AE15" s="186"/>
      <c r="AF15" s="186"/>
      <c r="AG15" s="186"/>
    </row>
    <row r="16" spans="1:34" ht="30" customHeight="1">
      <c r="A16" s="361" t="s">
        <v>182</v>
      </c>
      <c r="B16" s="361"/>
      <c r="C16" s="24"/>
      <c r="D16" s="375">
        <v>1125390</v>
      </c>
      <c r="E16" s="375"/>
      <c r="F16" s="183"/>
      <c r="G16" s="183">
        <v>30616078278</v>
      </c>
      <c r="H16" s="183"/>
      <c r="I16" s="183">
        <v>30736570694.122101</v>
      </c>
      <c r="J16" s="183"/>
      <c r="K16" s="183">
        <v>6000000</v>
      </c>
      <c r="L16" s="182"/>
      <c r="M16" s="183">
        <v>166421039302</v>
      </c>
      <c r="N16" s="182"/>
      <c r="O16" s="183">
        <v>7068505</v>
      </c>
      <c r="P16" s="183"/>
      <c r="Q16" s="183">
        <v>196508451093</v>
      </c>
      <c r="R16" s="183"/>
      <c r="S16" s="183">
        <f>D16+K16-O16</f>
        <v>56885</v>
      </c>
      <c r="T16" s="182"/>
      <c r="U16" s="24">
        <v>28100</v>
      </c>
      <c r="V16" s="182"/>
      <c r="W16" s="183">
        <v>1584267328</v>
      </c>
      <c r="X16" s="182"/>
      <c r="Y16" s="183">
        <v>1597411513</v>
      </c>
      <c r="Z16" s="182"/>
      <c r="AA16" s="185">
        <f t="shared" si="1"/>
        <v>1.334123238239351E-4</v>
      </c>
      <c r="AC16" s="43"/>
      <c r="AE16" s="186"/>
      <c r="AF16" s="186"/>
      <c r="AG16" s="186"/>
    </row>
    <row r="17" spans="1:33" ht="30" customHeight="1">
      <c r="A17" s="361" t="s">
        <v>28</v>
      </c>
      <c r="B17" s="361"/>
      <c r="C17" s="24"/>
      <c r="D17" s="375">
        <v>12746183</v>
      </c>
      <c r="E17" s="375"/>
      <c r="F17" s="183">
        <v>0</v>
      </c>
      <c r="G17" s="183">
        <v>199999985910</v>
      </c>
      <c r="H17" s="183"/>
      <c r="I17" s="183">
        <v>213169203881.28</v>
      </c>
      <c r="J17" s="183"/>
      <c r="K17" s="183">
        <v>0</v>
      </c>
      <c r="L17" s="182"/>
      <c r="M17" s="183">
        <v>0</v>
      </c>
      <c r="N17" s="182"/>
      <c r="O17" s="183">
        <v>0</v>
      </c>
      <c r="P17" s="183"/>
      <c r="Q17" s="183">
        <v>0</v>
      </c>
      <c r="R17" s="183"/>
      <c r="S17" s="183">
        <f>D17+K17-O17</f>
        <v>12746183</v>
      </c>
      <c r="T17" s="182"/>
      <c r="U17" s="24">
        <v>17163</v>
      </c>
      <c r="V17" s="182"/>
      <c r="W17" s="183">
        <v>199999985910</v>
      </c>
      <c r="X17" s="182"/>
      <c r="Y17" s="183">
        <v>218764013447</v>
      </c>
      <c r="Z17" s="182"/>
      <c r="AA17" s="185">
        <f t="shared" si="1"/>
        <v>1.8270693034008988E-2</v>
      </c>
      <c r="AC17" s="43"/>
      <c r="AE17" s="186"/>
      <c r="AF17" s="186"/>
      <c r="AG17" s="186"/>
    </row>
    <row r="18" spans="1:33" ht="30" customHeight="1">
      <c r="A18" s="361" t="s">
        <v>203</v>
      </c>
      <c r="B18" s="361"/>
      <c r="C18" s="24"/>
      <c r="D18" s="375">
        <v>1231</v>
      </c>
      <c r="E18" s="375"/>
      <c r="F18" s="183"/>
      <c r="G18" s="183">
        <v>40359316</v>
      </c>
      <c r="H18" s="183"/>
      <c r="I18" s="183">
        <v>45711251.434447497</v>
      </c>
      <c r="J18" s="183"/>
      <c r="K18" s="183">
        <v>0</v>
      </c>
      <c r="L18" s="182"/>
      <c r="M18" s="183">
        <v>0</v>
      </c>
      <c r="N18" s="182"/>
      <c r="O18" s="183">
        <v>0</v>
      </c>
      <c r="P18" s="183"/>
      <c r="Q18" s="183">
        <v>0</v>
      </c>
      <c r="R18" s="183"/>
      <c r="S18" s="183">
        <f t="shared" si="0"/>
        <v>1231</v>
      </c>
      <c r="T18" s="182"/>
      <c r="U18" s="24">
        <v>38200</v>
      </c>
      <c r="V18" s="182"/>
      <c r="W18" s="183">
        <v>40359316</v>
      </c>
      <c r="X18" s="182"/>
      <c r="Y18" s="183">
        <v>46993105</v>
      </c>
      <c r="Z18" s="182"/>
      <c r="AA18" s="185">
        <f t="shared" si="1"/>
        <v>3.9247615850582538E-6</v>
      </c>
      <c r="AC18" s="43"/>
      <c r="AE18" s="186"/>
      <c r="AF18" s="186"/>
      <c r="AG18" s="186"/>
    </row>
    <row r="19" spans="1:33" ht="30" customHeight="1">
      <c r="A19" s="361" t="s">
        <v>204</v>
      </c>
      <c r="B19" s="361"/>
      <c r="C19" s="24"/>
      <c r="D19" s="375">
        <v>1504778</v>
      </c>
      <c r="E19" s="375"/>
      <c r="F19" s="183"/>
      <c r="G19" s="183">
        <v>27962291662</v>
      </c>
      <c r="H19" s="183"/>
      <c r="I19" s="183">
        <v>29987677950.846001</v>
      </c>
      <c r="J19" s="183"/>
      <c r="K19" s="183">
        <v>0</v>
      </c>
      <c r="L19" s="182"/>
      <c r="M19" s="183">
        <v>0</v>
      </c>
      <c r="N19" s="182"/>
      <c r="O19" s="183">
        <v>0</v>
      </c>
      <c r="P19" s="183"/>
      <c r="Q19" s="183">
        <v>0</v>
      </c>
      <c r="R19" s="183"/>
      <c r="S19" s="183">
        <f t="shared" si="0"/>
        <v>1504778</v>
      </c>
      <c r="T19" s="182"/>
      <c r="U19" s="24">
        <v>20950</v>
      </c>
      <c r="V19" s="182"/>
      <c r="W19" s="183">
        <v>27962291662</v>
      </c>
      <c r="X19" s="182"/>
      <c r="Y19" s="183">
        <v>31487663045</v>
      </c>
      <c r="Z19" s="182"/>
      <c r="AA19" s="185">
        <f t="shared" si="1"/>
        <v>2.6297809076943181E-3</v>
      </c>
      <c r="AC19" s="43"/>
      <c r="AE19" s="186"/>
      <c r="AF19" s="186"/>
      <c r="AG19" s="186"/>
    </row>
    <row r="20" spans="1:33" ht="30" customHeight="1">
      <c r="A20" s="361" t="s">
        <v>205</v>
      </c>
      <c r="B20" s="361"/>
      <c r="C20" s="24"/>
      <c r="D20" s="375">
        <v>4002505</v>
      </c>
      <c r="E20" s="375"/>
      <c r="F20" s="183"/>
      <c r="G20" s="183">
        <v>49788803537</v>
      </c>
      <c r="H20" s="183"/>
      <c r="I20" s="183">
        <v>49534691685.862503</v>
      </c>
      <c r="J20" s="183"/>
      <c r="K20" s="183">
        <v>0</v>
      </c>
      <c r="L20" s="182"/>
      <c r="M20" s="183">
        <v>0</v>
      </c>
      <c r="N20" s="182"/>
      <c r="O20" s="183">
        <v>720032</v>
      </c>
      <c r="P20" s="183"/>
      <c r="Q20" s="183">
        <v>9322996985</v>
      </c>
      <c r="R20" s="183"/>
      <c r="S20" s="183">
        <f t="shared" si="0"/>
        <v>3282473</v>
      </c>
      <c r="T20" s="182"/>
      <c r="U20" s="24">
        <v>13043</v>
      </c>
      <c r="V20" s="182"/>
      <c r="W20" s="183">
        <v>40832029772</v>
      </c>
      <c r="X20" s="182"/>
      <c r="Y20" s="183">
        <v>42761919385</v>
      </c>
      <c r="Z20" s="182"/>
      <c r="AA20" s="185">
        <f t="shared" si="1"/>
        <v>3.5713821954434775E-3</v>
      </c>
      <c r="AC20" s="43"/>
      <c r="AE20" s="186"/>
      <c r="AF20" s="186"/>
      <c r="AG20" s="186"/>
    </row>
    <row r="21" spans="1:33" ht="30" customHeight="1">
      <c r="A21" s="361" t="s">
        <v>222</v>
      </c>
      <c r="B21" s="361"/>
      <c r="C21" s="24"/>
      <c r="D21" s="375">
        <v>4913374</v>
      </c>
      <c r="E21" s="375"/>
      <c r="F21" s="183"/>
      <c r="G21" s="183">
        <v>63700893230</v>
      </c>
      <c r="H21" s="183"/>
      <c r="I21" s="183">
        <v>68371838480.2005</v>
      </c>
      <c r="J21" s="183"/>
      <c r="K21" s="183">
        <v>0</v>
      </c>
      <c r="L21" s="182"/>
      <c r="M21" s="183">
        <v>0</v>
      </c>
      <c r="N21" s="182"/>
      <c r="O21" s="183">
        <v>0</v>
      </c>
      <c r="P21" s="183"/>
      <c r="Q21" s="183">
        <v>0</v>
      </c>
      <c r="R21" s="183"/>
      <c r="S21" s="183">
        <f t="shared" si="0"/>
        <v>4913374</v>
      </c>
      <c r="T21" s="182"/>
      <c r="U21" s="24">
        <v>13575</v>
      </c>
      <c r="V21" s="182"/>
      <c r="W21" s="183">
        <v>63700893230</v>
      </c>
      <c r="X21" s="182"/>
      <c r="Y21" s="183">
        <v>66619846926</v>
      </c>
      <c r="Z21" s="182"/>
      <c r="AA21" s="185">
        <f t="shared" si="1"/>
        <v>5.5639442428336242E-3</v>
      </c>
      <c r="AC21" s="43"/>
      <c r="AE21" s="186"/>
      <c r="AF21" s="186"/>
      <c r="AG21" s="186"/>
    </row>
    <row r="22" spans="1:33" ht="30" customHeight="1">
      <c r="A22" s="361" t="s">
        <v>232</v>
      </c>
      <c r="B22" s="361"/>
      <c r="C22" s="24"/>
      <c r="D22" s="375">
        <v>1000000</v>
      </c>
      <c r="E22" s="375"/>
      <c r="F22" s="183"/>
      <c r="G22" s="183">
        <v>14618938315</v>
      </c>
      <c r="H22" s="183"/>
      <c r="I22" s="183">
        <v>15074078250</v>
      </c>
      <c r="J22" s="183"/>
      <c r="K22" s="183">
        <v>0</v>
      </c>
      <c r="L22" s="182"/>
      <c r="M22" s="183">
        <v>0</v>
      </c>
      <c r="N22" s="182"/>
      <c r="O22" s="183">
        <v>0</v>
      </c>
      <c r="P22" s="183"/>
      <c r="Q22" s="183">
        <v>0</v>
      </c>
      <c r="R22" s="183"/>
      <c r="S22" s="183">
        <f t="shared" si="0"/>
        <v>1000000</v>
      </c>
      <c r="T22" s="182"/>
      <c r="U22" s="24">
        <v>15491</v>
      </c>
      <c r="V22" s="182"/>
      <c r="W22" s="183">
        <v>14618938315</v>
      </c>
      <c r="X22" s="182"/>
      <c r="Y22" s="183">
        <v>15472604438</v>
      </c>
      <c r="Z22" s="182"/>
      <c r="AA22" s="185">
        <f t="shared" si="1"/>
        <v>1.2922381595994615E-3</v>
      </c>
      <c r="AC22" s="43"/>
      <c r="AE22" s="186"/>
      <c r="AF22" s="186"/>
      <c r="AG22" s="186"/>
    </row>
    <row r="23" spans="1:33" ht="30" customHeight="1">
      <c r="A23" s="361" t="s">
        <v>177</v>
      </c>
      <c r="B23" s="361"/>
      <c r="C23" s="176"/>
      <c r="D23" s="375">
        <v>16735390</v>
      </c>
      <c r="E23" s="375"/>
      <c r="F23" s="183"/>
      <c r="G23" s="183">
        <v>354394434047</v>
      </c>
      <c r="H23" s="183"/>
      <c r="I23" s="183">
        <v>384685364572.59998</v>
      </c>
      <c r="J23" s="183"/>
      <c r="K23" s="183">
        <v>0</v>
      </c>
      <c r="L23" s="182"/>
      <c r="M23" s="183">
        <v>0</v>
      </c>
      <c r="N23" s="182"/>
      <c r="O23" s="337">
        <v>3800000</v>
      </c>
      <c r="P23" s="337"/>
      <c r="Q23" s="337">
        <v>87863904000</v>
      </c>
      <c r="R23" s="337"/>
      <c r="S23" s="183">
        <f t="shared" si="0"/>
        <v>12935390</v>
      </c>
      <c r="T23" s="182"/>
      <c r="U23" s="24">
        <v>23588</v>
      </c>
      <c r="V23" s="182"/>
      <c r="W23" s="183">
        <v>273924313579</v>
      </c>
      <c r="X23" s="182"/>
      <c r="Y23" s="183">
        <v>305115969349</v>
      </c>
      <c r="Z23" s="182"/>
      <c r="AA23" s="185">
        <f t="shared" si="1"/>
        <v>2.5482619960710551E-2</v>
      </c>
      <c r="AC23" s="43"/>
    </row>
    <row r="24" spans="1:33" ht="30" customHeight="1">
      <c r="A24" s="346" t="s">
        <v>242</v>
      </c>
      <c r="B24" s="346"/>
      <c r="C24" s="176"/>
      <c r="D24" s="375">
        <v>1694000</v>
      </c>
      <c r="E24" s="375"/>
      <c r="F24" s="183"/>
      <c r="G24" s="183">
        <v>20012387472</v>
      </c>
      <c r="H24" s="183"/>
      <c r="I24" s="183">
        <v>21758970502</v>
      </c>
      <c r="J24" s="183"/>
      <c r="K24" s="183">
        <v>0</v>
      </c>
      <c r="L24" s="182"/>
      <c r="M24" s="183">
        <v>0</v>
      </c>
      <c r="N24" s="182"/>
      <c r="O24" s="183">
        <v>0</v>
      </c>
      <c r="P24" s="183"/>
      <c r="Q24" s="183">
        <v>0</v>
      </c>
      <c r="R24" s="183"/>
      <c r="S24" s="183">
        <f t="shared" si="0"/>
        <v>1694000</v>
      </c>
      <c r="T24" s="182"/>
      <c r="U24" s="24">
        <v>12900</v>
      </c>
      <c r="V24" s="182"/>
      <c r="W24" s="183">
        <v>20012387472</v>
      </c>
      <c r="X24" s="182"/>
      <c r="Y24" s="183">
        <v>21826650038</v>
      </c>
      <c r="Z24" s="182"/>
      <c r="AA24" s="185">
        <f t="shared" si="1"/>
        <v>1.8229141828285803E-3</v>
      </c>
      <c r="AC24" s="43"/>
    </row>
    <row r="25" spans="1:33" ht="30" customHeight="1">
      <c r="A25" s="361" t="s">
        <v>243</v>
      </c>
      <c r="B25" s="361"/>
      <c r="C25" s="176"/>
      <c r="D25" s="375">
        <v>3000000</v>
      </c>
      <c r="E25" s="375"/>
      <c r="F25" s="183"/>
      <c r="G25" s="183">
        <v>30000000000</v>
      </c>
      <c r="H25" s="183"/>
      <c r="I25" s="183">
        <v>29964375000</v>
      </c>
      <c r="J25" s="183"/>
      <c r="K25" s="183">
        <v>1000000</v>
      </c>
      <c r="L25" s="182"/>
      <c r="M25" s="183">
        <v>10251878398</v>
      </c>
      <c r="N25" s="182"/>
      <c r="O25" s="183">
        <v>0</v>
      </c>
      <c r="P25" s="183"/>
      <c r="Q25" s="183">
        <v>0</v>
      </c>
      <c r="R25" s="183"/>
      <c r="S25" s="183">
        <f t="shared" si="0"/>
        <v>4000000</v>
      </c>
      <c r="T25" s="182"/>
      <c r="U25" s="24">
        <v>10180</v>
      </c>
      <c r="V25" s="182"/>
      <c r="W25" s="183">
        <v>40251878398</v>
      </c>
      <c r="X25" s="182"/>
      <c r="Y25" s="183">
        <v>40671645000</v>
      </c>
      <c r="Z25" s="182"/>
      <c r="AA25" s="185">
        <f t="shared" si="1"/>
        <v>3.3968070400354818E-3</v>
      </c>
      <c r="AC25" s="43"/>
    </row>
    <row r="26" spans="1:33" ht="30" customHeight="1">
      <c r="A26" s="361" t="s">
        <v>244</v>
      </c>
      <c r="B26" s="361"/>
      <c r="C26" s="176"/>
      <c r="D26" s="375">
        <v>473855</v>
      </c>
      <c r="E26" s="375"/>
      <c r="F26" s="183"/>
      <c r="G26" s="183">
        <v>11035895384</v>
      </c>
      <c r="H26" s="183"/>
      <c r="I26" s="183">
        <v>9664034470.7059994</v>
      </c>
      <c r="J26" s="183"/>
      <c r="K26" s="183">
        <v>0</v>
      </c>
      <c r="L26" s="182"/>
      <c r="M26" s="183">
        <v>0</v>
      </c>
      <c r="N26" s="182"/>
      <c r="O26" s="183">
        <v>473855</v>
      </c>
      <c r="P26" s="183"/>
      <c r="Q26" s="183">
        <v>10396439068</v>
      </c>
      <c r="R26" s="183"/>
      <c r="S26" s="183">
        <f t="shared" si="0"/>
        <v>0</v>
      </c>
      <c r="T26" s="182"/>
      <c r="U26" s="24">
        <v>0</v>
      </c>
      <c r="V26" s="182"/>
      <c r="W26" s="183">
        <v>0</v>
      </c>
      <c r="X26" s="182"/>
      <c r="Y26" s="183">
        <v>0</v>
      </c>
      <c r="Z26" s="182"/>
      <c r="AA26" s="185">
        <f t="shared" si="1"/>
        <v>0</v>
      </c>
      <c r="AC26" s="43"/>
    </row>
    <row r="27" spans="1:33" ht="30" customHeight="1">
      <c r="A27" s="361" t="s">
        <v>245</v>
      </c>
      <c r="B27" s="361"/>
      <c r="C27" s="176"/>
      <c r="D27" s="375">
        <v>643631</v>
      </c>
      <c r="E27" s="375"/>
      <c r="F27" s="183"/>
      <c r="G27" s="183">
        <v>26275544504</v>
      </c>
      <c r="H27" s="183"/>
      <c r="I27" s="183">
        <v>22564338362.279999</v>
      </c>
      <c r="J27" s="183"/>
      <c r="K27" s="183">
        <v>0</v>
      </c>
      <c r="L27" s="182"/>
      <c r="M27" s="183">
        <v>0</v>
      </c>
      <c r="N27" s="182"/>
      <c r="O27" s="183">
        <v>643631</v>
      </c>
      <c r="P27" s="183"/>
      <c r="Q27" s="183">
        <v>24469206678</v>
      </c>
      <c r="R27" s="183"/>
      <c r="S27" s="183">
        <f t="shared" ref="S27:S29" si="2">D27+K27-O27</f>
        <v>0</v>
      </c>
      <c r="T27" s="182"/>
      <c r="U27" s="24">
        <v>0</v>
      </c>
      <c r="V27" s="182"/>
      <c r="W27" s="183">
        <v>0</v>
      </c>
      <c r="X27" s="182"/>
      <c r="Y27" s="183">
        <v>0</v>
      </c>
      <c r="Z27" s="182"/>
      <c r="AA27" s="185">
        <f t="shared" si="1"/>
        <v>0</v>
      </c>
      <c r="AC27" s="43"/>
    </row>
    <row r="28" spans="1:33" ht="30" customHeight="1">
      <c r="A28" s="346" t="s">
        <v>291</v>
      </c>
      <c r="B28" s="346"/>
      <c r="C28" s="176"/>
      <c r="D28" s="375">
        <v>0</v>
      </c>
      <c r="E28" s="375"/>
      <c r="F28" s="183"/>
      <c r="G28" s="183">
        <v>0</v>
      </c>
      <c r="H28" s="183">
        <v>0</v>
      </c>
      <c r="I28" s="183">
        <v>0</v>
      </c>
      <c r="J28" s="183"/>
      <c r="K28" s="183">
        <v>15428991</v>
      </c>
      <c r="L28" s="182"/>
      <c r="M28" s="183">
        <v>199999993026.51001</v>
      </c>
      <c r="N28" s="182"/>
      <c r="O28" s="183">
        <v>0</v>
      </c>
      <c r="P28" s="183"/>
      <c r="Q28" s="183">
        <v>0</v>
      </c>
      <c r="R28" s="183"/>
      <c r="S28" s="183">
        <f t="shared" si="2"/>
        <v>15428991</v>
      </c>
      <c r="T28" s="182"/>
      <c r="U28" s="24">
        <v>13180</v>
      </c>
      <c r="V28" s="182"/>
      <c r="W28" s="183">
        <v>199999993026.51001</v>
      </c>
      <c r="X28" s="182"/>
      <c r="Y28" s="183">
        <v>203358112918</v>
      </c>
      <c r="Z28" s="182"/>
      <c r="AA28" s="188">
        <f t="shared" si="1"/>
        <v>1.6984025839333346E-2</v>
      </c>
      <c r="AC28" s="43"/>
    </row>
    <row r="29" spans="1:33" ht="30" customHeight="1">
      <c r="A29" s="346" t="s">
        <v>292</v>
      </c>
      <c r="B29" s="346"/>
      <c r="C29" s="176"/>
      <c r="D29" s="375">
        <v>0</v>
      </c>
      <c r="E29" s="375"/>
      <c r="F29" s="183"/>
      <c r="G29" s="183">
        <v>0</v>
      </c>
      <c r="H29" s="183"/>
      <c r="I29" s="183">
        <v>0</v>
      </c>
      <c r="J29" s="183"/>
      <c r="K29" s="183">
        <v>20000000</v>
      </c>
      <c r="L29" s="182"/>
      <c r="M29" s="183">
        <v>200000000000</v>
      </c>
      <c r="N29" s="182"/>
      <c r="O29" s="183">
        <v>0</v>
      </c>
      <c r="P29" s="183"/>
      <c r="Q29" s="183">
        <v>0</v>
      </c>
      <c r="R29" s="183"/>
      <c r="S29" s="183">
        <f t="shared" si="2"/>
        <v>20000000</v>
      </c>
      <c r="T29" s="182"/>
      <c r="U29" s="24">
        <v>10175</v>
      </c>
      <c r="V29" s="182"/>
      <c r="W29" s="183">
        <v>200000000000</v>
      </c>
      <c r="X29" s="182"/>
      <c r="Y29" s="183">
        <v>203502600000</v>
      </c>
      <c r="Z29" s="182"/>
      <c r="AA29" s="188">
        <f t="shared" si="1"/>
        <v>1.6996093085133994E-2</v>
      </c>
      <c r="AC29" s="43"/>
    </row>
    <row r="30" spans="1:33" s="178" customFormat="1" ht="30" customHeight="1" thickBot="1">
      <c r="A30" s="343" t="s">
        <v>12</v>
      </c>
      <c r="B30" s="343"/>
      <c r="D30" s="379">
        <f>SUM(D8:D29)</f>
        <v>68206279</v>
      </c>
      <c r="E30" s="379">
        <f t="shared" ref="E30:Q30" si="3">SUM(E8:E29)</f>
        <v>0</v>
      </c>
      <c r="F30" s="178">
        <f t="shared" si="3"/>
        <v>0</v>
      </c>
      <c r="G30" s="189">
        <f>SUM(G8:G29)</f>
        <v>1139563397301</v>
      </c>
      <c r="H30" s="178">
        <f t="shared" si="3"/>
        <v>0</v>
      </c>
      <c r="I30" s="189">
        <f>SUM(I8:I29)</f>
        <v>1242451145677.8777</v>
      </c>
      <c r="J30" s="178">
        <f t="shared" si="3"/>
        <v>6595634292</v>
      </c>
      <c r="K30" s="189">
        <f t="shared" si="3"/>
        <v>42428991</v>
      </c>
      <c r="L30" s="178">
        <f t="shared" si="3"/>
        <v>0</v>
      </c>
      <c r="M30" s="190">
        <f t="shared" si="3"/>
        <v>576672910726.51001</v>
      </c>
      <c r="N30" s="178">
        <f t="shared" si="3"/>
        <v>0</v>
      </c>
      <c r="O30" s="190">
        <f t="shared" si="3"/>
        <v>16074515</v>
      </c>
      <c r="P30" s="178">
        <f t="shared" si="3"/>
        <v>0</v>
      </c>
      <c r="Q30" s="190">
        <f t="shared" si="3"/>
        <v>473298899554</v>
      </c>
      <c r="S30" s="189">
        <f>SUM(S8:S29)</f>
        <v>94560755</v>
      </c>
      <c r="U30" s="191"/>
      <c r="W30" s="190">
        <f>SUM(W8:W29)</f>
        <v>1281124349765.51</v>
      </c>
      <c r="X30" s="178">
        <f>SUM(X8:X29)</f>
        <v>0</v>
      </c>
      <c r="Y30" s="190">
        <f>SUM(Y8:Y29)</f>
        <v>1399438981363</v>
      </c>
      <c r="AA30" s="192">
        <f>SUM(AA8:AA29)</f>
        <v>0.11687808998121227</v>
      </c>
      <c r="AD30" s="193"/>
      <c r="AE30" s="194"/>
      <c r="AF30" s="194"/>
      <c r="AG30" s="194"/>
    </row>
    <row r="31" spans="1:33" ht="30" customHeight="1" thickTop="1"/>
  </sheetData>
  <mergeCells count="64">
    <mergeCell ref="A28:B28"/>
    <mergeCell ref="D28:E28"/>
    <mergeCell ref="A10:B10"/>
    <mergeCell ref="D10:E10"/>
    <mergeCell ref="A22:B22"/>
    <mergeCell ref="D22:E22"/>
    <mergeCell ref="D14:E14"/>
    <mergeCell ref="D11:E11"/>
    <mergeCell ref="D19:E19"/>
    <mergeCell ref="D20:E20"/>
    <mergeCell ref="D21:E21"/>
    <mergeCell ref="A19:B19"/>
    <mergeCell ref="A20:B20"/>
    <mergeCell ref="A21:B21"/>
    <mergeCell ref="A17:B17"/>
    <mergeCell ref="A18:B18"/>
    <mergeCell ref="A30:B30"/>
    <mergeCell ref="D30:E30"/>
    <mergeCell ref="A23:B23"/>
    <mergeCell ref="D23:E23"/>
    <mergeCell ref="D17:E17"/>
    <mergeCell ref="D18:E18"/>
    <mergeCell ref="A24:B24"/>
    <mergeCell ref="A25:B25"/>
    <mergeCell ref="A26:B26"/>
    <mergeCell ref="A29:B29"/>
    <mergeCell ref="D24:E24"/>
    <mergeCell ref="D25:E25"/>
    <mergeCell ref="D26:E26"/>
    <mergeCell ref="D29:E29"/>
    <mergeCell ref="A27:B27"/>
    <mergeCell ref="D27:E27"/>
    <mergeCell ref="O6:Q6"/>
    <mergeCell ref="A8:B8"/>
    <mergeCell ref="D8:E8"/>
    <mergeCell ref="A11:B11"/>
    <mergeCell ref="A12:B12"/>
    <mergeCell ref="D12:E12"/>
    <mergeCell ref="A9:B9"/>
    <mergeCell ref="D9:E9"/>
    <mergeCell ref="I6:I7"/>
    <mergeCell ref="D6:E7"/>
    <mergeCell ref="K6:M6"/>
    <mergeCell ref="A7:B7"/>
    <mergeCell ref="G6:G7"/>
    <mergeCell ref="S6:S7"/>
    <mergeCell ref="U6:U7"/>
    <mergeCell ref="W6:W7"/>
    <mergeCell ref="Y6:Y7"/>
    <mergeCell ref="AA6:AA7"/>
    <mergeCell ref="A1:AA1"/>
    <mergeCell ref="A2:AA2"/>
    <mergeCell ref="A3:AA3"/>
    <mergeCell ref="E5:I5"/>
    <mergeCell ref="K5:Q5"/>
    <mergeCell ref="S5:AA5"/>
    <mergeCell ref="A4:AA4"/>
    <mergeCell ref="A14:B14"/>
    <mergeCell ref="A16:B16"/>
    <mergeCell ref="D16:E16"/>
    <mergeCell ref="A13:B13"/>
    <mergeCell ref="D13:E13"/>
    <mergeCell ref="D15:E15"/>
    <mergeCell ref="A15:B15"/>
  </mergeCells>
  <pageMargins left="0.39" right="0.39" top="0.39" bottom="0.39" header="0" footer="0"/>
  <pageSetup scale="5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-0.249977111117893"/>
    <pageSetUpPr fitToPage="1"/>
  </sheetPr>
  <dimension ref="A1:Q73"/>
  <sheetViews>
    <sheetView rightToLeft="1" view="pageBreakPreview" zoomScaleNormal="100" zoomScaleSheetLayoutView="100" workbookViewId="0">
      <selection activeCell="O1" sqref="O1"/>
    </sheetView>
  </sheetViews>
  <sheetFormatPr defaultRowHeight="24.95" customHeight="1"/>
  <cols>
    <col min="1" max="1" width="5.140625" style="12" customWidth="1"/>
    <col min="2" max="2" width="53.42578125" style="12" customWidth="1"/>
    <col min="3" max="3" width="0.5703125" style="12" customWidth="1"/>
    <col min="4" max="4" width="20.5703125" style="12" customWidth="1"/>
    <col min="5" max="5" width="0.5703125" style="12" customWidth="1"/>
    <col min="6" max="6" width="20.7109375" style="12" bestFit="1" customWidth="1"/>
    <col min="7" max="7" width="0.5703125" style="12" customWidth="1"/>
    <col min="8" max="8" width="20.85546875" style="12" customWidth="1"/>
    <col min="9" max="9" width="0.28515625" style="12" customWidth="1"/>
    <col min="10" max="10" width="20.5703125" style="12" bestFit="1" customWidth="1"/>
    <col min="11" max="11" width="0.42578125" style="12" customWidth="1"/>
    <col min="12" max="12" width="18.28515625" style="44" bestFit="1" customWidth="1"/>
    <col min="13" max="13" width="0.28515625" style="12" customWidth="1"/>
    <col min="14" max="14" width="48.28515625" style="154" hidden="1" customWidth="1"/>
    <col min="15" max="15" width="17.85546875" style="149" customWidth="1"/>
    <col min="16" max="16" width="14.140625" style="75" bestFit="1" customWidth="1"/>
    <col min="17" max="17" width="11.5703125" style="68" bestFit="1" customWidth="1"/>
    <col min="18" max="16384" width="9.140625" style="12"/>
  </cols>
  <sheetData>
    <row r="1" spans="1:17" ht="30" customHeight="1">
      <c r="A1" s="343" t="s">
        <v>0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N1" s="150"/>
      <c r="O1" s="146"/>
      <c r="P1" s="73"/>
      <c r="Q1" s="64"/>
    </row>
    <row r="2" spans="1:17" ht="30" customHeight="1">
      <c r="A2" s="343" t="s">
        <v>1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N2" s="151"/>
      <c r="O2" s="147"/>
      <c r="P2" s="73"/>
      <c r="Q2" s="66"/>
    </row>
    <row r="3" spans="1:17" ht="30" customHeight="1">
      <c r="A3" s="343" t="s">
        <v>283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N3" s="151"/>
      <c r="O3" s="147"/>
      <c r="P3" s="73"/>
      <c r="Q3" s="66"/>
    </row>
    <row r="4" spans="1:17" s="13" customFormat="1" ht="30" customHeight="1">
      <c r="A4" s="342" t="s">
        <v>151</v>
      </c>
      <c r="B4" s="342"/>
      <c r="C4" s="342"/>
      <c r="D4" s="342"/>
      <c r="E4" s="342"/>
      <c r="F4" s="342"/>
      <c r="G4" s="342"/>
      <c r="H4" s="342"/>
      <c r="I4" s="342"/>
      <c r="J4" s="342"/>
      <c r="K4" s="342"/>
      <c r="L4" s="342"/>
      <c r="N4" s="151"/>
      <c r="O4" s="147"/>
      <c r="P4" s="73"/>
      <c r="Q4" s="66"/>
    </row>
    <row r="5" spans="1:17" ht="30" customHeight="1">
      <c r="A5"/>
      <c r="B5"/>
      <c r="C5"/>
      <c r="D5" s="17" t="s">
        <v>275</v>
      </c>
      <c r="E5"/>
      <c r="F5" s="364" t="s">
        <v>2</v>
      </c>
      <c r="G5" s="364"/>
      <c r="H5" s="364"/>
      <c r="I5"/>
      <c r="J5" s="17" t="s">
        <v>284</v>
      </c>
      <c r="K5"/>
      <c r="L5" s="45"/>
      <c r="M5"/>
      <c r="N5"/>
      <c r="O5"/>
      <c r="P5" s="73"/>
      <c r="Q5" s="66"/>
    </row>
    <row r="6" spans="1:17" ht="30" customHeight="1">
      <c r="A6" s="364" t="s">
        <v>73</v>
      </c>
      <c r="B6" s="364"/>
      <c r="C6"/>
      <c r="D6" s="17" t="s">
        <v>74</v>
      </c>
      <c r="E6"/>
      <c r="F6" s="17" t="s">
        <v>75</v>
      </c>
      <c r="G6"/>
      <c r="H6" s="17" t="s">
        <v>76</v>
      </c>
      <c r="I6"/>
      <c r="J6" s="17" t="s">
        <v>74</v>
      </c>
      <c r="K6"/>
      <c r="L6" s="195" t="s">
        <v>11</v>
      </c>
      <c r="M6"/>
      <c r="N6"/>
      <c r="O6"/>
      <c r="P6" s="73"/>
      <c r="Q6" s="66"/>
    </row>
    <row r="7" spans="1:17" ht="30" customHeight="1">
      <c r="A7" s="382" t="s">
        <v>77</v>
      </c>
      <c r="B7" s="382"/>
      <c r="C7"/>
      <c r="D7" s="69">
        <v>296437746</v>
      </c>
      <c r="E7"/>
      <c r="F7" s="69">
        <v>6136047498437</v>
      </c>
      <c r="G7"/>
      <c r="H7" s="69">
        <v>6135573146889</v>
      </c>
      <c r="I7"/>
      <c r="J7" s="69">
        <f>D7+F7-H7</f>
        <v>770789294</v>
      </c>
      <c r="K7"/>
      <c r="L7" s="172">
        <f t="shared" ref="L7:L45" si="0">J7/11973492906908</f>
        <v>6.4374639881007492E-5</v>
      </c>
      <c r="M7"/>
      <c r="N7" s="162">
        <v>7325921202288</v>
      </c>
      <c r="O7"/>
      <c r="P7" s="73"/>
      <c r="Q7" s="66"/>
    </row>
    <row r="8" spans="1:17" ht="30" customHeight="1">
      <c r="A8" s="381" t="s">
        <v>183</v>
      </c>
      <c r="B8" s="381"/>
      <c r="C8"/>
      <c r="D8" s="36">
        <v>14225659</v>
      </c>
      <c r="E8"/>
      <c r="F8" s="36">
        <v>751558401346</v>
      </c>
      <c r="G8"/>
      <c r="H8" s="36">
        <v>751561820000</v>
      </c>
      <c r="I8"/>
      <c r="J8" s="36">
        <f t="shared" ref="J8:J40" si="1">D8+F8-H8</f>
        <v>10807005</v>
      </c>
      <c r="K8"/>
      <c r="L8" s="171">
        <f t="shared" si="0"/>
        <v>9.0257747543033114E-7</v>
      </c>
      <c r="M8"/>
      <c r="N8"/>
      <c r="O8"/>
      <c r="P8" s="73"/>
      <c r="Q8" s="66"/>
    </row>
    <row r="9" spans="1:17" ht="30" customHeight="1">
      <c r="A9" s="381" t="s">
        <v>184</v>
      </c>
      <c r="B9" s="381"/>
      <c r="C9"/>
      <c r="D9" s="36">
        <v>50000000</v>
      </c>
      <c r="E9"/>
      <c r="F9" s="36">
        <v>0</v>
      </c>
      <c r="G9"/>
      <c r="H9" s="36">
        <v>50000000</v>
      </c>
      <c r="I9"/>
      <c r="J9" s="36">
        <f t="shared" si="1"/>
        <v>0</v>
      </c>
      <c r="K9"/>
      <c r="L9" s="171">
        <f t="shared" si="0"/>
        <v>0</v>
      </c>
      <c r="M9"/>
      <c r="N9"/>
      <c r="O9"/>
      <c r="P9" s="73"/>
      <c r="Q9" s="66"/>
    </row>
    <row r="10" spans="1:17" ht="30" customHeight="1">
      <c r="A10" s="381" t="s">
        <v>78</v>
      </c>
      <c r="B10" s="381"/>
      <c r="C10"/>
      <c r="D10" s="36">
        <v>12357718</v>
      </c>
      <c r="E10"/>
      <c r="F10" s="36">
        <v>2238555759985</v>
      </c>
      <c r="G10"/>
      <c r="H10" s="36">
        <v>1880583318000</v>
      </c>
      <c r="I10"/>
      <c r="J10" s="36">
        <f t="shared" si="1"/>
        <v>357984799703</v>
      </c>
      <c r="K10"/>
      <c r="L10" s="171">
        <f t="shared" si="0"/>
        <v>2.9898109305803645E-2</v>
      </c>
      <c r="M10"/>
      <c r="N10"/>
      <c r="O10"/>
      <c r="P10" s="73"/>
      <c r="Q10" s="66"/>
    </row>
    <row r="11" spans="1:17" ht="30" customHeight="1">
      <c r="A11" s="381" t="s">
        <v>79</v>
      </c>
      <c r="B11" s="381"/>
      <c r="C11"/>
      <c r="D11" s="36">
        <v>1785897</v>
      </c>
      <c r="E11"/>
      <c r="F11" s="36">
        <v>7583</v>
      </c>
      <c r="G11"/>
      <c r="H11" s="36">
        <v>0</v>
      </c>
      <c r="I11"/>
      <c r="J11" s="36">
        <f t="shared" si="1"/>
        <v>1793480</v>
      </c>
      <c r="K11"/>
      <c r="L11" s="171">
        <f t="shared" si="0"/>
        <v>1.4978753601342743E-7</v>
      </c>
      <c r="M11"/>
      <c r="N11"/>
      <c r="O11"/>
      <c r="P11" s="73"/>
      <c r="Q11" s="66"/>
    </row>
    <row r="12" spans="1:17" ht="30" customHeight="1">
      <c r="A12" s="381" t="s">
        <v>80</v>
      </c>
      <c r="B12" s="381"/>
      <c r="C12"/>
      <c r="D12" s="36">
        <v>12188066</v>
      </c>
      <c r="E12"/>
      <c r="F12" s="36">
        <v>51758</v>
      </c>
      <c r="G12"/>
      <c r="H12" s="36">
        <v>0</v>
      </c>
      <c r="I12"/>
      <c r="J12" s="36">
        <f t="shared" si="1"/>
        <v>12239824</v>
      </c>
      <c r="K12"/>
      <c r="L12" s="171">
        <f t="shared" si="0"/>
        <v>1.0222433917289367E-6</v>
      </c>
      <c r="M12"/>
      <c r="N12"/>
      <c r="O12"/>
      <c r="P12" s="73"/>
      <c r="Q12" s="66"/>
    </row>
    <row r="13" spans="1:17" ht="30" customHeight="1">
      <c r="A13" s="381" t="s">
        <v>81</v>
      </c>
      <c r="B13" s="381"/>
      <c r="C13"/>
      <c r="D13" s="36">
        <v>7450972</v>
      </c>
      <c r="E13"/>
      <c r="F13" s="36">
        <v>31512</v>
      </c>
      <c r="G13"/>
      <c r="H13" s="36">
        <v>0</v>
      </c>
      <c r="I13"/>
      <c r="J13" s="36">
        <f t="shared" si="1"/>
        <v>7482484</v>
      </c>
      <c r="K13"/>
      <c r="L13" s="171">
        <f t="shared" si="0"/>
        <v>6.24920736010379E-7</v>
      </c>
      <c r="M13"/>
      <c r="N13"/>
      <c r="O13"/>
      <c r="P13" s="73"/>
      <c r="Q13" s="66"/>
    </row>
    <row r="14" spans="1:17" ht="30" customHeight="1">
      <c r="A14" s="381" t="s">
        <v>82</v>
      </c>
      <c r="B14" s="381"/>
      <c r="C14"/>
      <c r="D14" s="36">
        <v>1904111</v>
      </c>
      <c r="E14"/>
      <c r="F14" s="36">
        <v>8053</v>
      </c>
      <c r="G14"/>
      <c r="H14" s="36">
        <v>0</v>
      </c>
      <c r="I14"/>
      <c r="J14" s="36">
        <f t="shared" si="1"/>
        <v>1912164</v>
      </c>
      <c r="K14"/>
      <c r="L14" s="171">
        <f t="shared" si="0"/>
        <v>1.5969976471083005E-7</v>
      </c>
      <c r="M14"/>
      <c r="N14"/>
      <c r="O14"/>
      <c r="P14" s="73"/>
      <c r="Q14" s="66"/>
    </row>
    <row r="15" spans="1:17" ht="30" customHeight="1">
      <c r="A15" s="381" t="s">
        <v>83</v>
      </c>
      <c r="B15" s="381"/>
      <c r="C15"/>
      <c r="D15" s="36">
        <v>19589913</v>
      </c>
      <c r="E15"/>
      <c r="F15" s="36">
        <v>83190</v>
      </c>
      <c r="G15"/>
      <c r="H15" s="36">
        <v>0</v>
      </c>
      <c r="I15"/>
      <c r="J15" s="36">
        <f t="shared" si="1"/>
        <v>19673103</v>
      </c>
      <c r="K15"/>
      <c r="L15" s="171">
        <f t="shared" si="0"/>
        <v>1.6430546335104753E-6</v>
      </c>
      <c r="M15"/>
      <c r="N15"/>
      <c r="O15"/>
      <c r="P15" s="73"/>
      <c r="Q15" s="66"/>
    </row>
    <row r="16" spans="1:17" ht="30" customHeight="1">
      <c r="A16" s="381" t="s">
        <v>84</v>
      </c>
      <c r="B16" s="381"/>
      <c r="C16"/>
      <c r="D16" s="36">
        <v>2341571</v>
      </c>
      <c r="E16"/>
      <c r="F16" s="36">
        <v>9902</v>
      </c>
      <c r="G16"/>
      <c r="H16" s="36">
        <v>0</v>
      </c>
      <c r="I16"/>
      <c r="J16" s="36">
        <f t="shared" si="1"/>
        <v>2351473</v>
      </c>
      <c r="K16"/>
      <c r="L16" s="171">
        <f t="shared" si="0"/>
        <v>1.9638989376636609E-7</v>
      </c>
      <c r="M16"/>
      <c r="N16"/>
      <c r="O16"/>
      <c r="P16" s="73"/>
      <c r="Q16" s="66"/>
    </row>
    <row r="17" spans="1:17" ht="30" customHeight="1">
      <c r="A17" s="381" t="s">
        <v>85</v>
      </c>
      <c r="B17" s="381"/>
      <c r="C17"/>
      <c r="D17" s="36">
        <v>7229237</v>
      </c>
      <c r="E17"/>
      <c r="F17" s="36">
        <v>30574</v>
      </c>
      <c r="G17"/>
      <c r="H17" s="36">
        <v>0</v>
      </c>
      <c r="I17"/>
      <c r="J17" s="36">
        <f t="shared" si="1"/>
        <v>7259811</v>
      </c>
      <c r="K17"/>
      <c r="L17" s="171">
        <f t="shared" si="0"/>
        <v>6.0632357294933683E-7</v>
      </c>
      <c r="M17"/>
      <c r="N17"/>
      <c r="O17"/>
      <c r="P17" s="73"/>
      <c r="Q17" s="66"/>
    </row>
    <row r="18" spans="1:17" ht="30" customHeight="1">
      <c r="A18" s="381" t="s">
        <v>86</v>
      </c>
      <c r="B18" s="381"/>
      <c r="C18"/>
      <c r="D18" s="36">
        <v>15357038</v>
      </c>
      <c r="E18"/>
      <c r="F18" s="36">
        <v>321254843333</v>
      </c>
      <c r="G18"/>
      <c r="H18" s="36">
        <v>321250900000</v>
      </c>
      <c r="I18"/>
      <c r="J18" s="36">
        <f t="shared" si="1"/>
        <v>19300371</v>
      </c>
      <c r="K18"/>
      <c r="L18" s="171">
        <f t="shared" si="0"/>
        <v>1.6119248702160105E-6</v>
      </c>
      <c r="M18"/>
      <c r="N18"/>
      <c r="O18"/>
      <c r="P18" s="73"/>
      <c r="Q18" s="66"/>
    </row>
    <row r="19" spans="1:17" ht="30" customHeight="1">
      <c r="A19" s="381" t="s">
        <v>87</v>
      </c>
      <c r="B19" s="381"/>
      <c r="C19"/>
      <c r="D19" s="36">
        <v>21007892116</v>
      </c>
      <c r="E19"/>
      <c r="F19" s="36">
        <v>1003850075767</v>
      </c>
      <c r="G19"/>
      <c r="H19" s="36">
        <v>724840620000</v>
      </c>
      <c r="I19"/>
      <c r="J19" s="36">
        <f t="shared" si="1"/>
        <v>300017347883</v>
      </c>
      <c r="K19"/>
      <c r="L19" s="171">
        <f t="shared" si="0"/>
        <v>2.5056794221668403E-2</v>
      </c>
      <c r="M19"/>
      <c r="N19"/>
      <c r="O19"/>
      <c r="P19" s="73"/>
      <c r="Q19" s="66"/>
    </row>
    <row r="20" spans="1:17" ht="30" customHeight="1">
      <c r="A20" s="381" t="s">
        <v>185</v>
      </c>
      <c r="B20" s="381"/>
      <c r="C20"/>
      <c r="D20" s="36">
        <v>10000000000</v>
      </c>
      <c r="E20"/>
      <c r="F20" s="36">
        <v>0</v>
      </c>
      <c r="G20"/>
      <c r="H20" s="36">
        <v>10000000000</v>
      </c>
      <c r="I20"/>
      <c r="J20" s="36">
        <f t="shared" si="1"/>
        <v>0</v>
      </c>
      <c r="K20"/>
      <c r="L20" s="171">
        <f t="shared" si="0"/>
        <v>0</v>
      </c>
      <c r="M20"/>
      <c r="N20"/>
      <c r="O20"/>
      <c r="P20" s="73"/>
      <c r="Q20" s="66"/>
    </row>
    <row r="21" spans="1:17" ht="30" customHeight="1">
      <c r="A21" s="381" t="s">
        <v>186</v>
      </c>
      <c r="B21" s="381"/>
      <c r="C21"/>
      <c r="D21" s="36">
        <v>13126219</v>
      </c>
      <c r="E21"/>
      <c r="F21" s="36">
        <v>55578</v>
      </c>
      <c r="G21"/>
      <c r="H21" s="36">
        <v>0</v>
      </c>
      <c r="I21"/>
      <c r="J21" s="36">
        <f t="shared" si="1"/>
        <v>13181797</v>
      </c>
      <c r="K21"/>
      <c r="L21" s="171">
        <f t="shared" si="0"/>
        <v>1.1009149211918671E-6</v>
      </c>
      <c r="M21"/>
      <c r="N21"/>
      <c r="O21"/>
      <c r="P21" s="73"/>
      <c r="Q21" s="72"/>
    </row>
    <row r="22" spans="1:17" ht="30" customHeight="1">
      <c r="A22" s="381" t="s">
        <v>187</v>
      </c>
      <c r="B22" s="381"/>
      <c r="C22"/>
      <c r="D22" s="36">
        <v>45000000000</v>
      </c>
      <c r="E22"/>
      <c r="F22" s="36">
        <v>0</v>
      </c>
      <c r="G22"/>
      <c r="H22" s="36">
        <v>45000000000</v>
      </c>
      <c r="I22"/>
      <c r="J22" s="36">
        <f t="shared" si="1"/>
        <v>0</v>
      </c>
      <c r="K22"/>
      <c r="L22" s="171">
        <f t="shared" si="0"/>
        <v>0</v>
      </c>
      <c r="M22"/>
      <c r="N22"/>
      <c r="O22"/>
      <c r="P22" s="73"/>
      <c r="Q22" s="72"/>
    </row>
    <row r="23" spans="1:17" ht="30" customHeight="1">
      <c r="A23" s="381" t="s">
        <v>188</v>
      </c>
      <c r="B23" s="381"/>
      <c r="C23"/>
      <c r="D23" s="36">
        <v>150000000000</v>
      </c>
      <c r="E23"/>
      <c r="F23" s="36">
        <v>0</v>
      </c>
      <c r="G23"/>
      <c r="H23" s="36">
        <v>150000000000</v>
      </c>
      <c r="I23"/>
      <c r="J23" s="36">
        <f t="shared" si="1"/>
        <v>0</v>
      </c>
      <c r="K23"/>
      <c r="L23" s="171">
        <f t="shared" si="0"/>
        <v>0</v>
      </c>
      <c r="M23"/>
      <c r="N23"/>
      <c r="O23"/>
      <c r="P23" s="73"/>
      <c r="Q23" s="72"/>
    </row>
    <row r="24" spans="1:17" ht="30" customHeight="1">
      <c r="A24" s="381" t="s">
        <v>190</v>
      </c>
      <c r="B24" s="381"/>
      <c r="C24"/>
      <c r="D24" s="36">
        <v>28000000000</v>
      </c>
      <c r="E24"/>
      <c r="F24" s="36">
        <v>0</v>
      </c>
      <c r="G24"/>
      <c r="H24" s="36">
        <v>28000000000</v>
      </c>
      <c r="I24"/>
      <c r="J24" s="36">
        <f t="shared" si="1"/>
        <v>0</v>
      </c>
      <c r="K24"/>
      <c r="L24" s="171">
        <f t="shared" si="0"/>
        <v>0</v>
      </c>
      <c r="M24"/>
      <c r="N24"/>
      <c r="O24"/>
      <c r="P24" s="73"/>
      <c r="Q24" s="72"/>
    </row>
    <row r="25" spans="1:17" ht="30" customHeight="1">
      <c r="A25" s="381" t="s">
        <v>191</v>
      </c>
      <c r="B25" s="381"/>
      <c r="C25"/>
      <c r="D25" s="36">
        <v>30000000000</v>
      </c>
      <c r="E25"/>
      <c r="F25" s="36">
        <v>0</v>
      </c>
      <c r="G25"/>
      <c r="H25" s="36">
        <v>30000000000</v>
      </c>
      <c r="I25"/>
      <c r="J25" s="36">
        <f t="shared" si="1"/>
        <v>0</v>
      </c>
      <c r="K25"/>
      <c r="L25" s="171">
        <f t="shared" si="0"/>
        <v>0</v>
      </c>
      <c r="M25"/>
      <c r="N25"/>
      <c r="O25"/>
      <c r="P25" s="73"/>
      <c r="Q25" s="72"/>
    </row>
    <row r="26" spans="1:17" ht="30" customHeight="1">
      <c r="A26" s="381" t="s">
        <v>193</v>
      </c>
      <c r="B26" s="381"/>
      <c r="C26"/>
      <c r="D26" s="36">
        <v>37500000000</v>
      </c>
      <c r="E26"/>
      <c r="F26" s="36">
        <v>0</v>
      </c>
      <c r="G26"/>
      <c r="H26" s="36">
        <v>37500000000</v>
      </c>
      <c r="I26"/>
      <c r="J26" s="36">
        <f t="shared" si="1"/>
        <v>0</v>
      </c>
      <c r="K26"/>
      <c r="L26" s="171">
        <f t="shared" si="0"/>
        <v>0</v>
      </c>
      <c r="M26"/>
      <c r="N26"/>
      <c r="O26"/>
      <c r="P26" s="73"/>
      <c r="Q26" s="72"/>
    </row>
    <row r="27" spans="1:17" ht="30" customHeight="1">
      <c r="A27" s="381" t="s">
        <v>206</v>
      </c>
      <c r="B27" s="381"/>
      <c r="C27" s="4"/>
      <c r="D27" s="36">
        <v>5917971881</v>
      </c>
      <c r="E27"/>
      <c r="F27" s="36">
        <v>309459147743</v>
      </c>
      <c r="G27"/>
      <c r="H27" s="36">
        <v>314900950000</v>
      </c>
      <c r="I27"/>
      <c r="J27" s="36">
        <f t="shared" si="1"/>
        <v>476169624</v>
      </c>
      <c r="K27"/>
      <c r="L27" s="171">
        <f t="shared" si="0"/>
        <v>3.9768647937752418E-5</v>
      </c>
      <c r="M27"/>
      <c r="N27"/>
      <c r="O27"/>
      <c r="P27" s="73"/>
      <c r="Q27" s="72"/>
    </row>
    <row r="28" spans="1:17" ht="30" customHeight="1">
      <c r="A28" s="381" t="s">
        <v>207</v>
      </c>
      <c r="B28" s="381"/>
      <c r="C28"/>
      <c r="D28" s="36">
        <v>309000000000</v>
      </c>
      <c r="E28"/>
      <c r="F28" s="36">
        <v>0</v>
      </c>
      <c r="G28"/>
      <c r="H28" s="36">
        <v>309000000000</v>
      </c>
      <c r="I28"/>
      <c r="J28" s="36">
        <f t="shared" si="1"/>
        <v>0</v>
      </c>
      <c r="K28"/>
      <c r="L28" s="171">
        <f t="shared" si="0"/>
        <v>0</v>
      </c>
      <c r="M28"/>
      <c r="N28"/>
      <c r="O28"/>
      <c r="P28" s="73"/>
      <c r="Q28" s="72"/>
    </row>
    <row r="29" spans="1:17" ht="30" customHeight="1">
      <c r="A29" s="381" t="s">
        <v>208</v>
      </c>
      <c r="B29" s="381"/>
      <c r="C29"/>
      <c r="D29" s="36">
        <v>150000000000</v>
      </c>
      <c r="E29"/>
      <c r="F29" s="36">
        <v>0</v>
      </c>
      <c r="G29"/>
      <c r="H29" s="36">
        <v>150000000000</v>
      </c>
      <c r="I29"/>
      <c r="J29" s="36">
        <f t="shared" si="1"/>
        <v>0</v>
      </c>
      <c r="K29"/>
      <c r="L29" s="171">
        <f t="shared" si="0"/>
        <v>0</v>
      </c>
      <c r="M29"/>
      <c r="N29"/>
      <c r="O29"/>
      <c r="P29" s="73"/>
      <c r="Q29" s="72"/>
    </row>
    <row r="30" spans="1:17" ht="30" customHeight="1">
      <c r="A30" s="381" t="s">
        <v>209</v>
      </c>
      <c r="B30" s="381"/>
      <c r="C30"/>
      <c r="D30" s="36">
        <v>200000000000</v>
      </c>
      <c r="E30"/>
      <c r="F30" s="36">
        <v>0</v>
      </c>
      <c r="G30"/>
      <c r="H30" s="36">
        <v>200000000000</v>
      </c>
      <c r="I30"/>
      <c r="J30" s="36">
        <f t="shared" si="1"/>
        <v>0</v>
      </c>
      <c r="K30"/>
      <c r="L30" s="171">
        <f t="shared" si="0"/>
        <v>0</v>
      </c>
      <c r="M30"/>
      <c r="N30"/>
      <c r="O30"/>
      <c r="P30" s="73"/>
      <c r="Q30" s="72"/>
    </row>
    <row r="31" spans="1:17" ht="30" customHeight="1">
      <c r="A31" s="381" t="s">
        <v>210</v>
      </c>
      <c r="B31" s="381"/>
      <c r="C31"/>
      <c r="D31" s="36">
        <v>14000000000</v>
      </c>
      <c r="E31"/>
      <c r="F31" s="36">
        <v>0</v>
      </c>
      <c r="G31"/>
      <c r="H31" s="36">
        <v>14000000000</v>
      </c>
      <c r="I31"/>
      <c r="J31" s="36">
        <f t="shared" si="1"/>
        <v>0</v>
      </c>
      <c r="K31"/>
      <c r="L31" s="171">
        <f t="shared" si="0"/>
        <v>0</v>
      </c>
      <c r="M31"/>
      <c r="N31"/>
      <c r="O31"/>
      <c r="P31" s="73"/>
      <c r="Q31" s="72"/>
    </row>
    <row r="32" spans="1:17" ht="30" customHeight="1">
      <c r="A32" s="381" t="s">
        <v>211</v>
      </c>
      <c r="B32" s="381"/>
      <c r="C32"/>
      <c r="D32" s="36">
        <v>490000000000</v>
      </c>
      <c r="E32"/>
      <c r="F32" s="36">
        <v>0</v>
      </c>
      <c r="G32"/>
      <c r="H32" s="36">
        <v>0</v>
      </c>
      <c r="I32"/>
      <c r="J32" s="36">
        <f t="shared" si="1"/>
        <v>490000000000</v>
      </c>
      <c r="K32"/>
      <c r="L32" s="171">
        <f t="shared" si="0"/>
        <v>4.0923730761747802E-2</v>
      </c>
      <c r="M32"/>
      <c r="N32"/>
      <c r="O32"/>
      <c r="P32" s="73"/>
      <c r="Q32" s="72"/>
    </row>
    <row r="33" spans="1:17" ht="30" customHeight="1">
      <c r="A33" s="381" t="s">
        <v>195</v>
      </c>
      <c r="B33" s="381"/>
      <c r="C33"/>
      <c r="D33" s="36">
        <v>5000000000</v>
      </c>
      <c r="E33"/>
      <c r="F33" s="36">
        <v>0</v>
      </c>
      <c r="G33"/>
      <c r="H33" s="36">
        <v>5000000000</v>
      </c>
      <c r="I33"/>
      <c r="J33" s="36">
        <f t="shared" si="1"/>
        <v>0</v>
      </c>
      <c r="K33"/>
      <c r="L33" s="171">
        <f t="shared" si="0"/>
        <v>0</v>
      </c>
      <c r="M33"/>
      <c r="N33"/>
      <c r="O33"/>
      <c r="P33" s="73"/>
      <c r="Q33" s="72"/>
    </row>
    <row r="34" spans="1:17" ht="30" customHeight="1">
      <c r="A34" s="381" t="s">
        <v>246</v>
      </c>
      <c r="B34" s="381"/>
      <c r="C34"/>
      <c r="D34" s="36">
        <v>500000000000</v>
      </c>
      <c r="E34"/>
      <c r="F34" s="36">
        <v>0</v>
      </c>
      <c r="G34"/>
      <c r="H34" s="36">
        <v>100000000000</v>
      </c>
      <c r="I34"/>
      <c r="J34" s="36">
        <f t="shared" si="1"/>
        <v>400000000000</v>
      </c>
      <c r="K34"/>
      <c r="L34" s="171">
        <f t="shared" si="0"/>
        <v>3.3407127152447182E-2</v>
      </c>
      <c r="M34"/>
      <c r="N34"/>
      <c r="O34"/>
      <c r="P34" s="73"/>
      <c r="Q34" s="72"/>
    </row>
    <row r="35" spans="1:17" ht="30" customHeight="1">
      <c r="A35" s="381" t="s">
        <v>247</v>
      </c>
      <c r="B35" s="381"/>
      <c r="C35"/>
      <c r="D35" s="36">
        <v>500000000000</v>
      </c>
      <c r="E35"/>
      <c r="F35" s="36">
        <v>0</v>
      </c>
      <c r="G35"/>
      <c r="H35" s="36">
        <v>0</v>
      </c>
      <c r="I35"/>
      <c r="J35" s="36">
        <f t="shared" si="1"/>
        <v>500000000000</v>
      </c>
      <c r="K35"/>
      <c r="L35" s="171">
        <f t="shared" si="0"/>
        <v>4.1758908940558982E-2</v>
      </c>
      <c r="M35"/>
      <c r="N35"/>
      <c r="O35"/>
      <c r="P35" s="73"/>
      <c r="Q35" s="72"/>
    </row>
    <row r="36" spans="1:17" ht="30" customHeight="1">
      <c r="A36" s="381" t="s">
        <v>248</v>
      </c>
      <c r="B36" s="381"/>
      <c r="C36"/>
      <c r="D36" s="36">
        <v>250000000000</v>
      </c>
      <c r="E36"/>
      <c r="F36" s="36">
        <v>0</v>
      </c>
      <c r="G36"/>
      <c r="H36" s="36">
        <v>0</v>
      </c>
      <c r="I36"/>
      <c r="J36" s="36">
        <f t="shared" si="1"/>
        <v>250000000000</v>
      </c>
      <c r="K36"/>
      <c r="L36" s="171">
        <f t="shared" si="0"/>
        <v>2.0879454470279491E-2</v>
      </c>
      <c r="M36"/>
      <c r="N36"/>
      <c r="O36"/>
      <c r="P36" s="73"/>
      <c r="Q36" s="72"/>
    </row>
    <row r="37" spans="1:17" ht="30" customHeight="1">
      <c r="A37" s="381" t="s">
        <v>249</v>
      </c>
      <c r="B37" s="381"/>
      <c r="C37"/>
      <c r="D37" s="36">
        <v>250000000000</v>
      </c>
      <c r="E37"/>
      <c r="F37" s="36">
        <v>0</v>
      </c>
      <c r="G37"/>
      <c r="H37" s="36">
        <v>95600000000</v>
      </c>
      <c r="I37"/>
      <c r="J37" s="36">
        <f t="shared" si="1"/>
        <v>154400000000</v>
      </c>
      <c r="K37"/>
      <c r="L37" s="171">
        <f t="shared" si="0"/>
        <v>1.2895151080844613E-2</v>
      </c>
      <c r="M37"/>
      <c r="N37"/>
      <c r="O37"/>
      <c r="P37" s="73"/>
      <c r="Q37" s="72"/>
    </row>
    <row r="38" spans="1:17" ht="30" customHeight="1">
      <c r="A38" s="381" t="s">
        <v>250</v>
      </c>
      <c r="B38" s="381"/>
      <c r="C38"/>
      <c r="D38" s="36">
        <v>69294247</v>
      </c>
      <c r="E38"/>
      <c r="F38" s="36">
        <v>318607023364</v>
      </c>
      <c r="G38"/>
      <c r="H38" s="36">
        <v>318660995000</v>
      </c>
      <c r="I38"/>
      <c r="J38" s="36">
        <f t="shared" si="1"/>
        <v>15322611</v>
      </c>
      <c r="K38"/>
      <c r="L38" s="171">
        <f t="shared" si="0"/>
        <v>1.2797110349612147E-6</v>
      </c>
      <c r="M38"/>
      <c r="N38"/>
      <c r="O38"/>
      <c r="P38" s="73"/>
      <c r="Q38" s="72"/>
    </row>
    <row r="39" spans="1:17" ht="30" customHeight="1">
      <c r="A39" s="381" t="s">
        <v>251</v>
      </c>
      <c r="B39" s="381"/>
      <c r="C39"/>
      <c r="D39" s="36">
        <v>894500000000</v>
      </c>
      <c r="E39"/>
      <c r="F39" s="36">
        <v>0</v>
      </c>
      <c r="G39"/>
      <c r="H39" s="36">
        <v>300000000000</v>
      </c>
      <c r="I39"/>
      <c r="J39" s="36">
        <f t="shared" si="1"/>
        <v>594500000000</v>
      </c>
      <c r="K39"/>
      <c r="L39" s="171">
        <f t="shared" si="0"/>
        <v>4.9651342730324628E-2</v>
      </c>
      <c r="M39"/>
      <c r="N39"/>
      <c r="O39"/>
      <c r="P39" s="73"/>
      <c r="Q39" s="72"/>
    </row>
    <row r="40" spans="1:17" ht="30" customHeight="1">
      <c r="A40" s="381" t="s">
        <v>279</v>
      </c>
      <c r="B40" s="381"/>
      <c r="C40"/>
      <c r="D40" s="36">
        <v>300000000000</v>
      </c>
      <c r="E40"/>
      <c r="F40" s="36">
        <v>0</v>
      </c>
      <c r="G40"/>
      <c r="H40" s="36">
        <v>0</v>
      </c>
      <c r="I40"/>
      <c r="J40" s="36">
        <f t="shared" si="1"/>
        <v>300000000000</v>
      </c>
      <c r="K40"/>
      <c r="L40" s="171">
        <f t="shared" si="0"/>
        <v>2.5055345364335388E-2</v>
      </c>
      <c r="M40"/>
      <c r="N40"/>
      <c r="O40"/>
      <c r="P40" s="73"/>
      <c r="Q40" s="72"/>
    </row>
    <row r="41" spans="1:17" ht="30" customHeight="1">
      <c r="A41" s="381" t="s">
        <v>280</v>
      </c>
      <c r="B41" s="381"/>
      <c r="C41"/>
      <c r="D41" s="36">
        <v>300000000000</v>
      </c>
      <c r="E41"/>
      <c r="F41" s="36">
        <v>0</v>
      </c>
      <c r="G41"/>
      <c r="H41" s="36">
        <v>0</v>
      </c>
      <c r="I41"/>
      <c r="J41" s="36">
        <f t="shared" ref="J41:J45" si="2">D41+F41-H41</f>
        <v>300000000000</v>
      </c>
      <c r="K41"/>
      <c r="L41" s="171">
        <f t="shared" si="0"/>
        <v>2.5055345364335388E-2</v>
      </c>
      <c r="M41"/>
      <c r="N41"/>
      <c r="O41"/>
      <c r="P41" s="73"/>
      <c r="Q41" s="72"/>
    </row>
    <row r="42" spans="1:17" ht="30" customHeight="1">
      <c r="A42" s="4" t="s">
        <v>293</v>
      </c>
      <c r="B42" s="4"/>
      <c r="C42"/>
      <c r="D42" s="36">
        <v>0</v>
      </c>
      <c r="E42"/>
      <c r="F42" s="36">
        <v>500000000000</v>
      </c>
      <c r="G42"/>
      <c r="H42" s="36">
        <v>0</v>
      </c>
      <c r="I42"/>
      <c r="J42" s="36">
        <f t="shared" si="2"/>
        <v>500000000000</v>
      </c>
      <c r="K42"/>
      <c r="L42" s="171">
        <f t="shared" si="0"/>
        <v>4.1758908940558982E-2</v>
      </c>
      <c r="M42"/>
      <c r="N42"/>
      <c r="O42"/>
      <c r="P42" s="73"/>
      <c r="Q42" s="72"/>
    </row>
    <row r="43" spans="1:17" ht="30" customHeight="1">
      <c r="A43" s="4" t="s">
        <v>294</v>
      </c>
      <c r="B43" s="4"/>
      <c r="C43"/>
      <c r="D43" s="36">
        <v>0</v>
      </c>
      <c r="E43"/>
      <c r="F43" s="36">
        <v>110000000000</v>
      </c>
      <c r="G43"/>
      <c r="H43" s="36">
        <v>0</v>
      </c>
      <c r="I43"/>
      <c r="J43" s="36">
        <f t="shared" si="2"/>
        <v>110000000000</v>
      </c>
      <c r="K43"/>
      <c r="L43" s="171">
        <f t="shared" si="0"/>
        <v>9.1869599669229755E-3</v>
      </c>
      <c r="M43"/>
      <c r="N43"/>
      <c r="O43"/>
      <c r="P43" s="73"/>
      <c r="Q43" s="72"/>
    </row>
    <row r="44" spans="1:17" ht="30" customHeight="1">
      <c r="A44" s="4" t="s">
        <v>295</v>
      </c>
      <c r="B44" s="4"/>
      <c r="C44"/>
      <c r="D44" s="36">
        <v>0</v>
      </c>
      <c r="E44"/>
      <c r="F44" s="36">
        <v>200000000000</v>
      </c>
      <c r="G44"/>
      <c r="H44" s="36">
        <v>0</v>
      </c>
      <c r="I44"/>
      <c r="J44" s="36">
        <f t="shared" si="2"/>
        <v>200000000000</v>
      </c>
      <c r="K44"/>
      <c r="L44" s="171">
        <f t="shared" si="0"/>
        <v>1.6703563576223591E-2</v>
      </c>
      <c r="M44"/>
      <c r="N44"/>
      <c r="O44"/>
      <c r="P44" s="73"/>
      <c r="Q44" s="72"/>
    </row>
    <row r="45" spans="1:17" ht="30" customHeight="1">
      <c r="A45" s="4" t="s">
        <v>296</v>
      </c>
      <c r="B45" s="4"/>
      <c r="C45"/>
      <c r="D45" s="36">
        <v>0</v>
      </c>
      <c r="E45"/>
      <c r="F45" s="36">
        <v>200000000000</v>
      </c>
      <c r="G45"/>
      <c r="H45" s="36">
        <v>0</v>
      </c>
      <c r="I45"/>
      <c r="J45" s="36">
        <f t="shared" si="2"/>
        <v>200000000000</v>
      </c>
      <c r="K45"/>
      <c r="L45" s="171">
        <f t="shared" si="0"/>
        <v>1.6703563576223591E-2</v>
      </c>
      <c r="M45"/>
      <c r="N45"/>
      <c r="O45"/>
      <c r="P45" s="73"/>
      <c r="Q45" s="72"/>
    </row>
    <row r="46" spans="1:17" ht="30" customHeight="1" thickBot="1">
      <c r="A46" s="380" t="s">
        <v>12</v>
      </c>
      <c r="B46" s="380"/>
      <c r="C46" s="173"/>
      <c r="D46" s="312">
        <f>SUM(D7:D45)</f>
        <v>4490449152391</v>
      </c>
      <c r="E46" s="313"/>
      <c r="F46" s="312">
        <f>SUM(F7:F45)</f>
        <v>12089333028125</v>
      </c>
      <c r="G46" s="313"/>
      <c r="H46" s="312">
        <f>SUM(H7:H45)</f>
        <v>11921521749889</v>
      </c>
      <c r="I46" s="313">
        <f t="shared" ref="I46:J46" si="3">SUM(I7:I45)</f>
        <v>0</v>
      </c>
      <c r="J46" s="312">
        <f t="shared" si="3"/>
        <v>4658260430627</v>
      </c>
      <c r="K46" s="313"/>
      <c r="L46" s="338">
        <f>SUM(L7:L45)</f>
        <v>0.38904774628792399</v>
      </c>
      <c r="M46"/>
      <c r="N46"/>
      <c r="O46"/>
      <c r="P46" s="73"/>
      <c r="Q46" s="72"/>
    </row>
    <row r="47" spans="1:17" ht="30" customHeight="1" thickTop="1">
      <c r="B47" s="152"/>
      <c r="C47" s="87"/>
      <c r="D47" s="73"/>
      <c r="E47" s="72"/>
      <c r="L47" s="30"/>
      <c r="N47" s="12"/>
      <c r="O47" s="12"/>
      <c r="P47" s="12"/>
      <c r="Q47" s="12"/>
    </row>
    <row r="48" spans="1:17" ht="30" customHeight="1">
      <c r="B48" s="152"/>
      <c r="C48" s="87"/>
      <c r="D48" s="73"/>
      <c r="E48" s="72"/>
      <c r="L48" s="30"/>
      <c r="N48" s="12"/>
      <c r="O48" s="12"/>
      <c r="P48" s="12"/>
      <c r="Q48" s="12"/>
    </row>
    <row r="49" spans="2:17" ht="30" customHeight="1">
      <c r="B49" s="152"/>
      <c r="C49" s="87"/>
      <c r="D49" s="73"/>
      <c r="E49" s="72"/>
      <c r="L49" s="30"/>
      <c r="N49" s="12"/>
      <c r="O49" s="12"/>
      <c r="P49" s="12"/>
      <c r="Q49" s="12"/>
    </row>
    <row r="50" spans="2:17" ht="30" customHeight="1">
      <c r="B50" s="152"/>
      <c r="C50" s="87"/>
      <c r="D50" s="73"/>
      <c r="E50" s="72"/>
      <c r="L50" s="30"/>
      <c r="N50" s="12"/>
      <c r="O50" s="12"/>
      <c r="P50" s="12"/>
      <c r="Q50" s="12"/>
    </row>
    <row r="51" spans="2:17" ht="30" customHeight="1">
      <c r="B51" s="152"/>
      <c r="C51" s="87"/>
      <c r="D51" s="73"/>
      <c r="E51" s="72"/>
      <c r="L51" s="30"/>
      <c r="N51" s="12"/>
      <c r="O51" s="12"/>
      <c r="P51" s="12"/>
      <c r="Q51" s="12"/>
    </row>
    <row r="52" spans="2:17" ht="30" customHeight="1">
      <c r="B52" s="152"/>
      <c r="C52" s="87"/>
      <c r="D52" s="73"/>
      <c r="E52" s="72"/>
      <c r="L52" s="30"/>
      <c r="N52" s="12"/>
      <c r="O52" s="12"/>
      <c r="P52" s="12"/>
      <c r="Q52" s="12"/>
    </row>
    <row r="53" spans="2:17" ht="30" customHeight="1">
      <c r="B53" s="152"/>
      <c r="C53" s="87"/>
      <c r="D53" s="73"/>
      <c r="E53" s="72"/>
      <c r="L53" s="30"/>
      <c r="N53" s="12"/>
      <c r="O53" s="12"/>
      <c r="P53" s="12"/>
      <c r="Q53" s="12"/>
    </row>
    <row r="54" spans="2:17" ht="30" customHeight="1">
      <c r="B54" s="152"/>
      <c r="C54" s="87"/>
      <c r="D54" s="73"/>
      <c r="E54" s="72"/>
      <c r="L54" s="30"/>
      <c r="N54" s="12"/>
      <c r="O54" s="12"/>
      <c r="P54" s="12"/>
      <c r="Q54" s="12"/>
    </row>
    <row r="55" spans="2:17" ht="30" customHeight="1">
      <c r="B55" s="152"/>
      <c r="C55" s="87"/>
      <c r="D55" s="73"/>
      <c r="E55" s="72"/>
      <c r="L55" s="30"/>
      <c r="N55" s="12"/>
      <c r="O55" s="12"/>
      <c r="P55" s="12"/>
      <c r="Q55" s="12"/>
    </row>
    <row r="56" spans="2:17" ht="30" customHeight="1">
      <c r="B56" s="152"/>
      <c r="C56" s="87"/>
      <c r="D56" s="73"/>
      <c r="E56" s="72"/>
      <c r="L56" s="30"/>
      <c r="N56" s="12"/>
      <c r="O56" s="12"/>
      <c r="P56" s="12"/>
      <c r="Q56" s="12"/>
    </row>
    <row r="57" spans="2:17" ht="30" customHeight="1">
      <c r="B57" s="152"/>
      <c r="C57" s="87"/>
      <c r="D57" s="73"/>
      <c r="E57" s="72"/>
      <c r="L57" s="30"/>
      <c r="N57" s="12"/>
      <c r="O57" s="12"/>
      <c r="P57" s="12"/>
      <c r="Q57" s="12"/>
    </row>
    <row r="58" spans="2:17" ht="30" customHeight="1">
      <c r="B58" s="152"/>
      <c r="C58" s="87"/>
      <c r="D58" s="73"/>
      <c r="E58" s="72"/>
      <c r="L58" s="30"/>
      <c r="N58" s="12"/>
      <c r="O58" s="12"/>
      <c r="P58" s="12"/>
      <c r="Q58" s="12"/>
    </row>
    <row r="59" spans="2:17" ht="30" customHeight="1">
      <c r="B59" s="152"/>
      <c r="C59" s="87"/>
      <c r="D59" s="73"/>
      <c r="E59" s="72"/>
      <c r="L59" s="30"/>
      <c r="N59" s="12"/>
      <c r="O59" s="12"/>
      <c r="P59" s="12"/>
      <c r="Q59" s="12"/>
    </row>
    <row r="60" spans="2:17" ht="30" customHeight="1">
      <c r="B60" s="152"/>
      <c r="C60" s="87"/>
      <c r="D60" s="73"/>
      <c r="E60" s="72"/>
      <c r="L60" s="30"/>
      <c r="N60" s="12"/>
      <c r="O60" s="12"/>
      <c r="P60" s="12"/>
      <c r="Q60" s="12"/>
    </row>
    <row r="61" spans="2:17" ht="30" customHeight="1">
      <c r="B61" s="152"/>
      <c r="C61" s="87"/>
      <c r="D61" s="73"/>
      <c r="E61" s="72"/>
      <c r="L61" s="30"/>
      <c r="N61" s="12"/>
      <c r="O61" s="12"/>
      <c r="P61" s="12"/>
      <c r="Q61" s="12"/>
    </row>
    <row r="62" spans="2:17" ht="30" customHeight="1">
      <c r="B62" s="152"/>
      <c r="C62" s="87"/>
      <c r="D62" s="73"/>
      <c r="E62" s="72"/>
      <c r="L62" s="30"/>
      <c r="N62" s="12"/>
      <c r="O62" s="12"/>
      <c r="P62" s="12"/>
      <c r="Q62" s="12"/>
    </row>
    <row r="63" spans="2:17" ht="30" customHeight="1">
      <c r="B63" s="152"/>
      <c r="C63" s="87"/>
      <c r="D63" s="73"/>
      <c r="E63" s="72"/>
      <c r="L63" s="30"/>
      <c r="N63" s="12"/>
      <c r="O63" s="12"/>
      <c r="P63" s="12"/>
      <c r="Q63" s="12"/>
    </row>
    <row r="64" spans="2:17" ht="30" customHeight="1">
      <c r="B64" s="152"/>
      <c r="C64" s="87"/>
      <c r="D64" s="73"/>
      <c r="E64" s="72"/>
      <c r="L64" s="30"/>
      <c r="N64" s="12"/>
      <c r="O64" s="12"/>
      <c r="P64" s="12"/>
      <c r="Q64" s="12"/>
    </row>
    <row r="65" spans="2:17" ht="30" customHeight="1">
      <c r="B65" s="152"/>
      <c r="C65" s="87"/>
      <c r="D65" s="73"/>
      <c r="E65" s="72"/>
      <c r="L65" s="30"/>
      <c r="N65" s="12"/>
      <c r="O65" s="12"/>
      <c r="P65" s="12"/>
      <c r="Q65" s="12"/>
    </row>
    <row r="66" spans="2:17" ht="30" customHeight="1">
      <c r="B66" s="152"/>
      <c r="C66" s="87"/>
      <c r="D66" s="73"/>
      <c r="E66" s="72"/>
      <c r="L66" s="30"/>
      <c r="N66" s="12"/>
      <c r="O66" s="12"/>
      <c r="P66" s="12"/>
      <c r="Q66" s="12"/>
    </row>
    <row r="67" spans="2:17" ht="30" customHeight="1">
      <c r="B67" s="152"/>
      <c r="C67" s="87"/>
      <c r="D67" s="73"/>
      <c r="E67" s="72"/>
      <c r="L67" s="30"/>
      <c r="N67" s="12"/>
      <c r="O67" s="12"/>
      <c r="P67" s="12"/>
      <c r="Q67" s="12"/>
    </row>
    <row r="68" spans="2:17" ht="30" customHeight="1">
      <c r="B68" s="152"/>
      <c r="C68" s="87"/>
      <c r="D68" s="73"/>
      <c r="E68" s="72"/>
      <c r="L68" s="30"/>
      <c r="N68" s="12"/>
      <c r="O68" s="12"/>
      <c r="P68" s="12"/>
      <c r="Q68" s="12"/>
    </row>
    <row r="69" spans="2:17" ht="30" customHeight="1">
      <c r="B69" s="152"/>
      <c r="C69" s="87"/>
      <c r="D69" s="73"/>
      <c r="E69" s="72"/>
      <c r="L69" s="30"/>
      <c r="N69" s="12"/>
      <c r="O69" s="12"/>
      <c r="P69" s="12"/>
      <c r="Q69" s="12"/>
    </row>
    <row r="70" spans="2:17" ht="30" customHeight="1">
      <c r="B70" s="152"/>
      <c r="C70" s="87"/>
      <c r="D70" s="73"/>
      <c r="E70" s="72"/>
      <c r="L70" s="30"/>
      <c r="N70" s="12"/>
      <c r="O70" s="12"/>
      <c r="P70" s="12"/>
      <c r="Q70" s="12"/>
    </row>
    <row r="71" spans="2:17" ht="30" customHeight="1">
      <c r="B71" s="152"/>
      <c r="C71" s="87"/>
      <c r="D71" s="73"/>
      <c r="E71" s="72"/>
      <c r="L71" s="30"/>
      <c r="N71" s="12"/>
      <c r="O71" s="12"/>
      <c r="P71" s="12"/>
      <c r="Q71" s="12"/>
    </row>
    <row r="72" spans="2:17" s="22" customFormat="1" ht="30" customHeight="1">
      <c r="B72" s="153"/>
      <c r="C72" s="148"/>
      <c r="D72" s="74"/>
      <c r="E72" s="72"/>
      <c r="L72" s="46"/>
    </row>
    <row r="73" spans="2:17" ht="24.95" customHeight="1">
      <c r="J73" s="99"/>
    </row>
  </sheetData>
  <mergeCells count="42">
    <mergeCell ref="A27:B27"/>
    <mergeCell ref="A24:B24"/>
    <mergeCell ref="A25:B25"/>
    <mergeCell ref="A26:B26"/>
    <mergeCell ref="A20:B20"/>
    <mergeCell ref="A21:B21"/>
    <mergeCell ref="A22:B22"/>
    <mergeCell ref="A23:B23"/>
    <mergeCell ref="A15:B15"/>
    <mergeCell ref="A16:B16"/>
    <mergeCell ref="A17:B17"/>
    <mergeCell ref="A18:B18"/>
    <mergeCell ref="A19:B19"/>
    <mergeCell ref="A10:B10"/>
    <mergeCell ref="A11:B11"/>
    <mergeCell ref="A12:B12"/>
    <mergeCell ref="A13:B13"/>
    <mergeCell ref="A14:B14"/>
    <mergeCell ref="A6:B6"/>
    <mergeCell ref="A7:B7"/>
    <mergeCell ref="A8:B8"/>
    <mergeCell ref="A9:B9"/>
    <mergeCell ref="A1:L1"/>
    <mergeCell ref="A2:L2"/>
    <mergeCell ref="A3:L3"/>
    <mergeCell ref="F5:H5"/>
    <mergeCell ref="A4:L4"/>
    <mergeCell ref="A46:B46"/>
    <mergeCell ref="A28:B28"/>
    <mergeCell ref="A29:B29"/>
    <mergeCell ref="A30:B30"/>
    <mergeCell ref="A31:B31"/>
    <mergeCell ref="A32:B32"/>
    <mergeCell ref="A36:B36"/>
    <mergeCell ref="A37:B37"/>
    <mergeCell ref="A38:B38"/>
    <mergeCell ref="A39:B39"/>
    <mergeCell ref="A34:B34"/>
    <mergeCell ref="A35:B35"/>
    <mergeCell ref="A33:B33"/>
    <mergeCell ref="A40:B40"/>
    <mergeCell ref="A41:B41"/>
  </mergeCells>
  <pageMargins left="0.39" right="0.39" top="0.39" bottom="0.39" header="0" footer="0"/>
  <pageSetup scale="82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31869B"/>
  </sheetPr>
  <dimension ref="A1:N11"/>
  <sheetViews>
    <sheetView rightToLeft="1" view="pageBreakPreview" zoomScaleNormal="100" zoomScaleSheetLayoutView="100" workbookViewId="0">
      <selection activeCell="M1" sqref="M1"/>
    </sheetView>
  </sheetViews>
  <sheetFormatPr defaultRowHeight="30" customHeight="1"/>
  <cols>
    <col min="1" max="1" width="2.5703125" customWidth="1"/>
    <col min="2" max="2" width="48.85546875" customWidth="1"/>
    <col min="3" max="3" width="0.42578125" customWidth="1"/>
    <col min="4" max="4" width="11.7109375" customWidth="1"/>
    <col min="5" max="5" width="0.7109375" customWidth="1"/>
    <col min="6" max="6" width="22" customWidth="1"/>
    <col min="7" max="7" width="0.85546875" customWidth="1"/>
    <col min="8" max="8" width="12" style="58" customWidth="1"/>
    <col min="9" max="9" width="0.5703125" style="58" customWidth="1"/>
    <col min="10" max="10" width="12.85546875" style="58" customWidth="1"/>
    <col min="11" max="11" width="0.28515625" customWidth="1"/>
    <col min="12" max="12" width="24.85546875" style="45" hidden="1" customWidth="1"/>
    <col min="13" max="13" width="23" style="34" bestFit="1" customWidth="1"/>
    <col min="14" max="14" width="15.85546875" style="45" bestFit="1" customWidth="1"/>
  </cols>
  <sheetData>
    <row r="1" spans="1:14" s="12" customFormat="1" ht="30" customHeight="1">
      <c r="A1" s="343" t="s">
        <v>0</v>
      </c>
      <c r="B1" s="343"/>
      <c r="C1" s="343"/>
      <c r="D1" s="343"/>
      <c r="E1" s="343"/>
      <c r="F1" s="343"/>
      <c r="G1" s="343"/>
      <c r="H1" s="343"/>
      <c r="I1" s="343"/>
      <c r="J1" s="343"/>
      <c r="L1" s="30"/>
      <c r="M1" s="99"/>
      <c r="N1" s="30"/>
    </row>
    <row r="2" spans="1:14" s="12" customFormat="1" ht="30" customHeight="1">
      <c r="A2" s="343" t="s">
        <v>88</v>
      </c>
      <c r="B2" s="343"/>
      <c r="C2" s="343"/>
      <c r="D2" s="343"/>
      <c r="E2" s="343"/>
      <c r="F2" s="343"/>
      <c r="G2" s="343"/>
      <c r="H2" s="343"/>
      <c r="I2" s="343"/>
      <c r="J2" s="343"/>
      <c r="L2" s="30"/>
      <c r="M2" s="99"/>
      <c r="N2" s="30"/>
    </row>
    <row r="3" spans="1:14" s="12" customFormat="1" ht="30" customHeight="1">
      <c r="A3" s="343" t="s">
        <v>283</v>
      </c>
      <c r="B3" s="343"/>
      <c r="C3" s="343"/>
      <c r="D3" s="343"/>
      <c r="E3" s="343"/>
      <c r="F3" s="343"/>
      <c r="G3" s="343"/>
      <c r="H3" s="343"/>
      <c r="I3" s="343"/>
      <c r="J3" s="343"/>
      <c r="L3" s="30"/>
      <c r="M3" s="99"/>
      <c r="N3" s="30"/>
    </row>
    <row r="4" spans="1:14" s="13" customFormat="1" ht="30" customHeight="1">
      <c r="A4" s="342" t="s">
        <v>152</v>
      </c>
      <c r="B4" s="342"/>
      <c r="C4" s="342"/>
      <c r="D4" s="342"/>
      <c r="E4" s="342"/>
      <c r="F4" s="342"/>
      <c r="G4" s="342"/>
      <c r="H4" s="342"/>
      <c r="I4" s="342"/>
      <c r="J4" s="342"/>
      <c r="L4" s="44"/>
      <c r="M4" s="118"/>
      <c r="N4" s="44"/>
    </row>
    <row r="5" spans="1:14" s="12" customFormat="1" ht="42" customHeight="1">
      <c r="A5" s="344" t="s">
        <v>89</v>
      </c>
      <c r="B5" s="344"/>
      <c r="D5" s="1" t="s">
        <v>90</v>
      </c>
      <c r="F5" s="1" t="s">
        <v>74</v>
      </c>
      <c r="H5" s="83" t="s">
        <v>91</v>
      </c>
      <c r="I5" s="54"/>
      <c r="J5" s="83" t="s">
        <v>92</v>
      </c>
      <c r="L5" s="30"/>
      <c r="M5" s="99"/>
      <c r="N5" s="30"/>
    </row>
    <row r="6" spans="1:14" s="12" customFormat="1" ht="30" customHeight="1">
      <c r="A6" s="382" t="s">
        <v>93</v>
      </c>
      <c r="B6" s="382"/>
      <c r="D6" s="31" t="s">
        <v>153</v>
      </c>
      <c r="E6" s="14"/>
      <c r="F6" s="161">
        <f>'درآمد سرمایه گذاری در سهام'!I24</f>
        <v>-127690413</v>
      </c>
      <c r="G6" s="14"/>
      <c r="H6" s="232">
        <f>F6/F11</f>
        <v>-5.190752508494427E-4</v>
      </c>
      <c r="I6" s="155"/>
      <c r="J6" s="234">
        <f>F6/11973492906908</f>
        <v>-1.0664424658098736E-5</v>
      </c>
      <c r="L6" s="163">
        <v>7325921202288</v>
      </c>
      <c r="M6" s="43"/>
      <c r="N6" s="30"/>
    </row>
    <row r="7" spans="1:14" s="12" customFormat="1" ht="30" customHeight="1">
      <c r="A7" s="381" t="s">
        <v>94</v>
      </c>
      <c r="B7" s="381"/>
      <c r="D7" s="31" t="s">
        <v>95</v>
      </c>
      <c r="E7" s="14"/>
      <c r="F7" s="215">
        <f>'درآمد سرمایه گذاری در صندوق'!G31</f>
        <v>56361305805</v>
      </c>
      <c r="G7" s="14"/>
      <c r="H7" s="47">
        <f>F7/F11</f>
        <v>0.22911476485656387</v>
      </c>
      <c r="I7" s="62"/>
      <c r="J7" s="235">
        <f t="shared" ref="J7:J10" si="0">F7/11973492906908</f>
        <v>4.7071732737639866E-3</v>
      </c>
      <c r="L7" s="43"/>
      <c r="M7" s="43"/>
      <c r="N7" s="30"/>
    </row>
    <row r="8" spans="1:14" s="12" customFormat="1" ht="30" customHeight="1">
      <c r="A8" s="381" t="s">
        <v>96</v>
      </c>
      <c r="B8" s="381"/>
      <c r="D8" s="31" t="s">
        <v>154</v>
      </c>
      <c r="E8" s="14"/>
      <c r="F8" s="215">
        <f>'درآمد سرمایه گذاری در اوراق به'!I28</f>
        <v>83679397235</v>
      </c>
      <c r="G8" s="14"/>
      <c r="H8" s="47">
        <f>F8/F11</f>
        <v>0.34016574220562501</v>
      </c>
      <c r="I8" s="62"/>
      <c r="J8" s="47">
        <f t="shared" si="0"/>
        <v>6.9887206586744556E-3</v>
      </c>
      <c r="L8" s="43"/>
      <c r="M8" s="43"/>
      <c r="N8" s="30"/>
    </row>
    <row r="9" spans="1:14" s="12" customFormat="1" ht="30" customHeight="1">
      <c r="A9" s="381" t="s">
        <v>97</v>
      </c>
      <c r="B9" s="381"/>
      <c r="D9" s="31" t="s">
        <v>155</v>
      </c>
      <c r="E9" s="14"/>
      <c r="F9" s="215">
        <f>'درآمد سپرده بانکی'!D49</f>
        <v>105489253136</v>
      </c>
      <c r="G9" s="14"/>
      <c r="H9" s="47">
        <f>F9/F11</f>
        <v>0.42882515019737277</v>
      </c>
      <c r="I9" s="62"/>
      <c r="J9" s="47">
        <f t="shared" si="0"/>
        <v>8.8102322318276E-3</v>
      </c>
      <c r="L9" s="43"/>
      <c r="M9" s="43"/>
      <c r="N9" s="30"/>
    </row>
    <row r="10" spans="1:14" s="12" customFormat="1" ht="30" customHeight="1">
      <c r="A10" s="381" t="s">
        <v>98</v>
      </c>
      <c r="B10" s="381"/>
      <c r="D10" s="31" t="s">
        <v>156</v>
      </c>
      <c r="E10" s="14"/>
      <c r="F10" s="224">
        <f>'سایر درآمدها'!F10</f>
        <v>593691068</v>
      </c>
      <c r="G10" s="14"/>
      <c r="H10" s="85">
        <f>F10/F11</f>
        <v>2.4134179912878311E-3</v>
      </c>
      <c r="I10" s="62"/>
      <c r="J10" s="85">
        <f t="shared" si="0"/>
        <v>4.9583782494870416E-5</v>
      </c>
      <c r="L10" s="43"/>
      <c r="M10" s="43"/>
      <c r="N10" s="30"/>
    </row>
    <row r="11" spans="1:14" s="12" customFormat="1" ht="30" customHeight="1">
      <c r="A11" s="343" t="s">
        <v>12</v>
      </c>
      <c r="B11" s="343"/>
      <c r="C11" s="22"/>
      <c r="D11" s="19"/>
      <c r="E11" s="20"/>
      <c r="F11" s="21">
        <f>SUM(F6:F10)</f>
        <v>245995956831</v>
      </c>
      <c r="G11" s="20"/>
      <c r="H11" s="86">
        <f>SUM(H6:H10)</f>
        <v>1</v>
      </c>
      <c r="I11" s="82"/>
      <c r="J11" s="236">
        <f>SUM(J6:J10)</f>
        <v>2.0545045522102814E-2</v>
      </c>
      <c r="L11" s="90"/>
      <c r="M11" s="99"/>
      <c r="N11" s="30"/>
    </row>
  </sheetData>
  <mergeCells count="11">
    <mergeCell ref="A11:B11"/>
    <mergeCell ref="A6:B6"/>
    <mergeCell ref="A7:B7"/>
    <mergeCell ref="A8:B8"/>
    <mergeCell ref="A9:B9"/>
    <mergeCell ref="A10:B10"/>
    <mergeCell ref="A1:J1"/>
    <mergeCell ref="A2:J2"/>
    <mergeCell ref="A3:J3"/>
    <mergeCell ref="A5:B5"/>
    <mergeCell ref="A4:J4"/>
  </mergeCells>
  <pageMargins left="0.39" right="0.39" top="0.39" bottom="0.39" header="0" footer="0"/>
  <pageSetup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23</vt:i4>
      </vt:variant>
    </vt:vector>
  </HeadingPairs>
  <TitlesOfParts>
    <vt:vector size="42" baseType="lpstr">
      <vt:lpstr>صورت وضعیت</vt:lpstr>
      <vt:lpstr>سهام</vt:lpstr>
      <vt:lpstr>اوراق</vt:lpstr>
      <vt:lpstr>مبالغ تخصیصی اوراق</vt:lpstr>
      <vt:lpstr>تعدیل قیمت</vt:lpstr>
      <vt:lpstr>اوراق مشتقه</vt:lpstr>
      <vt:lpstr>واحدهای صندوق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درآمد سپرده بانکی</vt:lpstr>
      <vt:lpstr>سایر درآمدها</vt:lpstr>
      <vt:lpstr>درآمد سود سهام</vt:lpstr>
      <vt:lpstr>درآمد اوراق بهادار</vt:lpstr>
      <vt:lpstr>درآمد ناشی از تغییر قیمت اوراق</vt:lpstr>
      <vt:lpstr>درآمد ناشی از فروش</vt:lpstr>
      <vt:lpstr>سود سپرده بانکی</vt:lpstr>
      <vt:lpstr>اوراق!Print_Area</vt:lpstr>
      <vt:lpstr>'اوراق مشتقه'!Print_Area</vt:lpstr>
      <vt:lpstr>'تعدیل قیمت'!Print_Area</vt:lpstr>
      <vt:lpstr>درآمد!Print_Area</vt:lpstr>
      <vt:lpstr>'درآمد اوراق بهادار'!Print_Area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  <vt:lpstr>'درآمد سپرده بانکی'!Print_Titles</vt:lpstr>
      <vt:lpstr>'درآمد سرمایه گذاری در اوراق به'!Print_Titles</vt:lpstr>
      <vt:lpstr>'درآمد ناشی از فروش'!Print_Titles</vt:lpstr>
      <vt:lpstr>'سود سپرده بانکی'!Print_Titles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Behnaz Taheri</dc:creator>
  <dc:description/>
  <cp:lastModifiedBy>KarAmooz</cp:lastModifiedBy>
  <cp:lastPrinted>2025-03-30T12:41:30Z</cp:lastPrinted>
  <dcterms:created xsi:type="dcterms:W3CDTF">2024-08-25T06:34:11Z</dcterms:created>
  <dcterms:modified xsi:type="dcterms:W3CDTF">2025-05-28T11:41:00Z</dcterms:modified>
</cp:coreProperties>
</file>